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xiro\OneDrive\Έγγραφα\papers_2021\Paper2022\Wedge\DFN model\"/>
    </mc:Choice>
  </mc:AlternateContent>
  <xr:revisionPtr revIDLastSave="0" documentId="13_ncr:1_{CC86757A-E64A-4114-BD4A-35C9F45B92B0}" xr6:coauthVersionLast="47" xr6:coauthVersionMax="47" xr10:uidLastSave="{00000000-0000-0000-0000-000000000000}"/>
  <bookViews>
    <workbookView xWindow="-120" yWindow="-120" windowWidth="29040" windowHeight="15720" tabRatio="599" activeTab="1" xr2:uid="{6E2E31DD-C895-4D77-8169-09E87508113E}"/>
  </bookViews>
  <sheets>
    <sheet name="Nomeclature" sheetId="2" r:id="rId1"/>
    <sheet name="Prismatic wedge" sheetId="1" r:id="rId2"/>
    <sheet name="results_Symmetric wedge" sheetId="3" r:id="rId3"/>
    <sheet name="results_Asymmetric wedge" sheetId="4" r:id="rId4"/>
    <sheet name="Tetrahedral wedge" sheetId="5" r:id="rId5"/>
    <sheet name="results_tetrahedral" sheetId="6" r:id="rId6"/>
  </sheets>
  <definedNames>
    <definedName name="c_" localSheetId="0">Nomeclature!$B$2</definedName>
    <definedName name="c_" localSheetId="1">'Prismatic wedge'!$B$2</definedName>
    <definedName name="c_1" localSheetId="4">'Tetrahedral wedge'!$B$2</definedName>
    <definedName name="Ca" localSheetId="1">'Prismatic wedge'!$P$12</definedName>
    <definedName name="Ca" localSheetId="5">results_tetrahedral!$R$7</definedName>
    <definedName name="Ca" localSheetId="4">'Tetrahedral wedge'!$R$7</definedName>
    <definedName name="Cb" localSheetId="1">'Prismatic wedge'!$AL$12</definedName>
    <definedName name="Cb" localSheetId="5">results_tetrahedral!$AM$7</definedName>
    <definedName name="Cb" localSheetId="4">'Tetrahedral wedge'!$AM$7</definedName>
    <definedName name="Cc" localSheetId="5">results_tetrahedral!$BH$7</definedName>
    <definedName name="Cc" localSheetId="4">'Tetrahedral wedge'!$BH$7</definedName>
    <definedName name="dipa" localSheetId="4">'Tetrahedral wedge'!$O$6</definedName>
    <definedName name="dipb" localSheetId="4">'Tetrahedral wedge'!$AJ$6</definedName>
    <definedName name="dipc" localSheetId="4">'Tetrahedral wedge'!$BE$6</definedName>
    <definedName name="dira" localSheetId="4">'Tetrahedral wedge'!$O$7</definedName>
    <definedName name="dirb" localSheetId="4">'Tetrahedral wedge'!$AJ$7</definedName>
    <definedName name="dirc" localSheetId="4">'Tetrahedral wedge'!$BE$7</definedName>
    <definedName name="Fa" localSheetId="1">'Prismatic wedge'!$P$13</definedName>
    <definedName name="Fb" localSheetId="1">'Prismatic wedge'!$AL$13</definedName>
    <definedName name="Fta" localSheetId="4">'Tetrahedral wedge'!$R$6</definedName>
    <definedName name="Ftb" localSheetId="4">'Tetrahedral wedge'!$AM$6</definedName>
    <definedName name="Ftc" localSheetId="4">'Tetrahedral wedge'!$BH$6</definedName>
    <definedName name="h" localSheetId="0">Nomeclature!$B$15</definedName>
    <definedName name="h" localSheetId="1">'Prismatic wedge'!$B$15</definedName>
    <definedName name="H0" localSheetId="0">Nomeclature!$F$4</definedName>
    <definedName name="H0" localSheetId="1">'Prismatic wedge'!$F$3</definedName>
    <definedName name="i" localSheetId="1">'Prismatic wedge'!$B$4</definedName>
    <definedName name="i">Nomeclature!$B$4</definedName>
    <definedName name="i_1" localSheetId="5">results_tetrahedral!$B$4</definedName>
    <definedName name="i_1" localSheetId="4">'Tetrahedral wedge'!$B$4</definedName>
    <definedName name="k" localSheetId="0">Nomeclature!$B$9</definedName>
    <definedName name="k" localSheetId="1">'Prismatic wedge'!$B$9</definedName>
    <definedName name="kh" localSheetId="4">'Tetrahedral wedge'!$B$9</definedName>
    <definedName name="Ks" localSheetId="0">Nomeclature!$B$6</definedName>
    <definedName name="Ks" localSheetId="1">'Prismatic wedge'!$B$6</definedName>
    <definedName name="Ks_1" localSheetId="4">'Tetrahedral wedge'!$B$6</definedName>
    <definedName name="kxa" localSheetId="4">'Tetrahedral wedge'!$N$13</definedName>
    <definedName name="kxb" localSheetId="4">'Tetrahedral wedge'!$AI$13</definedName>
    <definedName name="kxc" localSheetId="4">'Tetrahedral wedge'!$BD$13</definedName>
    <definedName name="kya" localSheetId="4">'Tetrahedral wedge'!$O$13</definedName>
    <definedName name="kyb" localSheetId="4">'Tetrahedral wedge'!$AJ$13</definedName>
    <definedName name="kyc" localSheetId="4">'Tetrahedral wedge'!$BE$13</definedName>
    <definedName name="kza" localSheetId="4">'Tetrahedral wedge'!$P$13</definedName>
    <definedName name="kzb" localSheetId="4">'Tetrahedral wedge'!$AK$13</definedName>
    <definedName name="kzc" localSheetId="4">'Tetrahedral wedge'!$BF$13</definedName>
    <definedName name="mx1_" localSheetId="0">Nomeclature!$R$15</definedName>
    <definedName name="mx1_" localSheetId="1">'Prismatic wedge'!$R$15</definedName>
    <definedName name="mx2_" localSheetId="0">Nomeclature!$AN$15</definedName>
    <definedName name="mx2_" localSheetId="1">'Prismatic wedge'!$AN$15</definedName>
    <definedName name="mxa" localSheetId="4">'Tetrahedral wedge'!$N$11</definedName>
    <definedName name="mxb" localSheetId="4">'Tetrahedral wedge'!$AI$11</definedName>
    <definedName name="mxc" localSheetId="4">'Tetrahedral wedge'!$BD$11</definedName>
    <definedName name="my1_" localSheetId="0">Nomeclature!$S$15</definedName>
    <definedName name="my1_" localSheetId="1">'Prismatic wedge'!$S$15</definedName>
    <definedName name="my1_" localSheetId="3">'results_Asymmetric wedge'!$S$15</definedName>
    <definedName name="my1_" localSheetId="2">'results_Symmetric wedge'!$S$15</definedName>
    <definedName name="my2_" localSheetId="0">Nomeclature!$AO$15</definedName>
    <definedName name="my2_" localSheetId="1">'Prismatic wedge'!$AO$15</definedName>
    <definedName name="my2_" localSheetId="3">'results_Asymmetric wedge'!$AN$15</definedName>
    <definedName name="my2_" localSheetId="2">'results_Symmetric wedge'!$AN$15</definedName>
    <definedName name="mya" localSheetId="4">'Tetrahedral wedge'!$O$11</definedName>
    <definedName name="myb" localSheetId="4">'Tetrahedral wedge'!$AJ$11</definedName>
    <definedName name="myc" localSheetId="4">'Tetrahedral wedge'!$BE$11</definedName>
    <definedName name="mza" localSheetId="5">results_tetrahedral!$P$11</definedName>
    <definedName name="mza" localSheetId="4">'Tetrahedral wedge'!$P$11</definedName>
    <definedName name="mzb" localSheetId="5">results_tetrahedral!$AK$11</definedName>
    <definedName name="mzb" localSheetId="4">'Tetrahedral wedge'!$AK$11</definedName>
    <definedName name="mzc" localSheetId="5">results_tetrahedral!$BF$11</definedName>
    <definedName name="mzc" localSheetId="4">'Tetrahedral wedge'!$BF$11</definedName>
    <definedName name="N01_" localSheetId="0">Nomeclature!$S$16</definedName>
    <definedName name="N01_" localSheetId="1">'Prismatic wedge'!$S$16</definedName>
    <definedName name="N02_" localSheetId="0">Nomeclature!$AO$16</definedName>
    <definedName name="N02_" localSheetId="1">'Prismatic wedge'!$AO$16</definedName>
    <definedName name="N0a" localSheetId="4">'Tetrahedral wedge'!$O$14</definedName>
    <definedName name="N0b" localSheetId="4">'Tetrahedral wedge'!$AJ$14</definedName>
    <definedName name="N0c" localSheetId="4">'Tetrahedral wedge'!$BE$14</definedName>
    <definedName name="nx1_" localSheetId="0">Nomeclature!$R$13</definedName>
    <definedName name="nx1_" localSheetId="1">'Prismatic wedge'!$R$13</definedName>
    <definedName name="nx2_" localSheetId="0">Nomeclature!$AN$13</definedName>
    <definedName name="nx2_" localSheetId="1">'Prismatic wedge'!$AN$13</definedName>
    <definedName name="nxa" localSheetId="4">'Tetrahedral wedge'!$N$9</definedName>
    <definedName name="nxb" localSheetId="4">'Tetrahedral wedge'!$AI$9</definedName>
    <definedName name="nxc" localSheetId="4">'Tetrahedral wedge'!$BD$9</definedName>
    <definedName name="ny1_" localSheetId="0">Nomeclature!$S$13</definedName>
    <definedName name="ny1_" localSheetId="1">'Prismatic wedge'!$S$13</definedName>
    <definedName name="ny1_" localSheetId="3">'results_Asymmetric wedge'!$S$13</definedName>
    <definedName name="ny1_" localSheetId="2">'results_Symmetric wedge'!$S$13</definedName>
    <definedName name="ny2_" localSheetId="0">Nomeclature!$AO$13</definedName>
    <definedName name="ny2_" localSheetId="1">'Prismatic wedge'!$AO$13</definedName>
    <definedName name="ny2_" localSheetId="3">'results_Asymmetric wedge'!$AN$13</definedName>
    <definedName name="ny2_" localSheetId="2">'results_Symmetric wedge'!$AN$13</definedName>
    <definedName name="nya" localSheetId="4">'Tetrahedral wedge'!$O$9</definedName>
    <definedName name="nyb" localSheetId="4">'Tetrahedral wedge'!$AJ$9</definedName>
    <definedName name="nyc" localSheetId="4">'Tetrahedral wedge'!$BE$9</definedName>
    <definedName name="nza" localSheetId="5">results_tetrahedral!$P$9</definedName>
    <definedName name="nza" localSheetId="4">'Tetrahedral wedge'!$P$9</definedName>
    <definedName name="nzb" localSheetId="5">results_tetrahedral!$AK$9</definedName>
    <definedName name="nzb" localSheetId="4">'Tetrahedral wedge'!$AK$9</definedName>
    <definedName name="nzc" localSheetId="5">results_tetrahedral!$BF$9</definedName>
    <definedName name="nzc" localSheetId="4">'Tetrahedral wedge'!$BF$9</definedName>
    <definedName name="p" localSheetId="0">Nomeclature!$B$8</definedName>
    <definedName name="p" localSheetId="1">'Prismatic wedge'!$B$8</definedName>
    <definedName name="Pl1_" localSheetId="0">Nomeclature!$BE$4</definedName>
    <definedName name="Pl1_" localSheetId="1">'Prismatic wedge'!$BE$4</definedName>
    <definedName name="Pl1_" localSheetId="3">'results_Asymmetric wedge'!$BC$4</definedName>
    <definedName name="Pl1_" localSheetId="2">'results_Symmetric wedge'!$BC$4</definedName>
    <definedName name="Pl2_" localSheetId="0">Nomeclature!$BE$12</definedName>
    <definedName name="Pl2_" localSheetId="1">'Prismatic wedge'!$BE$11</definedName>
    <definedName name="Pl2_" localSheetId="3">'results_Asymmetric wedge'!$BC$11</definedName>
    <definedName name="Pl2_" localSheetId="2">'results_Symmetric wedge'!$BC$11</definedName>
    <definedName name="pv" localSheetId="4">'Tetrahedral wedge'!$B$8</definedName>
    <definedName name="R_" localSheetId="0">Nomeclature!$B$10</definedName>
    <definedName name="R_" localSheetId="1">'Prismatic wedge'!$B$10</definedName>
    <definedName name="R0" localSheetId="4">'Tetrahedral wedge'!$B$10</definedName>
    <definedName name="S01_" localSheetId="0">Nomeclature!$S$17</definedName>
    <definedName name="S01_" localSheetId="1">'Prismatic wedge'!$S$17</definedName>
    <definedName name="S02_" localSheetId="0">Nomeclature!$AO$17</definedName>
    <definedName name="S02_" localSheetId="1">'Prismatic wedge'!$AO$17</definedName>
    <definedName name="S0a" localSheetId="4">'Tetrahedral wedge'!$O$15</definedName>
    <definedName name="S0b" localSheetId="4">'Tetrahedral wedge'!$AJ$15</definedName>
    <definedName name="S0c" localSheetId="4">'Tetrahedral wedge'!$BE$15</definedName>
    <definedName name="T0a" localSheetId="4">'Tetrahedral wedge'!$O$16</definedName>
    <definedName name="T0b" localSheetId="4">'Tetrahedral wedge'!$AJ$16</definedName>
    <definedName name="T0c" localSheetId="4">'Tetrahedral wedge'!$BE$16</definedName>
    <definedName name="un1a" localSheetId="0">Nomeclature!$BE$6</definedName>
    <definedName name="un1a" localSheetId="1">'Prismatic wedge'!$BE$6</definedName>
    <definedName name="un1b">'Prismatic wedge'!$BE$13</definedName>
    <definedName name="un1c" localSheetId="0">Nomeclature!$BE$22</definedName>
    <definedName name="un1c" localSheetId="1">'Prismatic wedge'!$BE$22</definedName>
    <definedName name="un2a" localSheetId="0">Nomeclature!$BE$8</definedName>
    <definedName name="un2a" localSheetId="1">'Prismatic wedge'!$BE$8</definedName>
    <definedName name="un2b" localSheetId="0">Nomeclature!#REF!</definedName>
    <definedName name="un2b" localSheetId="1">'Prismatic wedge'!$BE$15</definedName>
    <definedName name="un2c" localSheetId="0">Nomeclature!$BE$24</definedName>
    <definedName name="un2c" localSheetId="1">'Prismatic wedge'!$BE$24</definedName>
    <definedName name="us1a" localSheetId="0">Nomeclature!$BE$5</definedName>
    <definedName name="us1a" localSheetId="1">'Prismatic wedge'!$BE$5</definedName>
    <definedName name="us1b" localSheetId="0">Nomeclature!$BE$13</definedName>
    <definedName name="us1b" localSheetId="1">'Prismatic wedge'!$BE$12</definedName>
    <definedName name="us1c" localSheetId="0">Nomeclature!$BE$21</definedName>
    <definedName name="us1c" localSheetId="1">'Prismatic wedge'!$BE$21</definedName>
    <definedName name="us2a" localSheetId="0">Nomeclature!$BE$7</definedName>
    <definedName name="us2a" localSheetId="1">'Prismatic wedge'!$BE$7</definedName>
    <definedName name="us2b" localSheetId="0">Nomeclature!$BE$15</definedName>
    <definedName name="us2b" localSheetId="1">'Prismatic wedge'!$BE$14</definedName>
    <definedName name="us2c" localSheetId="0">Nomeclature!$BE$23</definedName>
    <definedName name="us2c" localSheetId="1">'Prismatic wedge'!$BE$23</definedName>
    <definedName name="v" localSheetId="4">'Tetrahedral wedge'!$B$11</definedName>
    <definedName name="W" localSheetId="0">Nomeclature!$B$18</definedName>
    <definedName name="W" localSheetId="1">'Prismatic wedge'!$B$18</definedName>
    <definedName name="W" localSheetId="3">'results_Asymmetric wedge'!$B$18</definedName>
    <definedName name="W" localSheetId="2">'results_Symmetric wedge'!$B$18</definedName>
    <definedName name="W" localSheetId="4">'Tetrahedral wedge'!$B$13</definedName>
    <definedName name="W">results_tetrahedral!$B$13</definedName>
    <definedName name="z" localSheetId="1">'Prismatic wedge'!$B$7</definedName>
    <definedName name="z" localSheetId="4">'Tetrahedral wedge'!$B$7</definedName>
    <definedName name="α1" localSheetId="0">Nomeclature!$B$11</definedName>
    <definedName name="α1" localSheetId="1">'Prismatic wedge'!$B$11</definedName>
    <definedName name="α2" localSheetId="0">Nomeclature!$B$12</definedName>
    <definedName name="α2" localSheetId="1">'Prismatic wedge'!$B$12</definedName>
    <definedName name="γ" localSheetId="0">Nomeclature!$B$1</definedName>
    <definedName name="γ" localSheetId="1">'Prismatic wedge'!$B$1</definedName>
    <definedName name="γ" localSheetId="4">'Tetrahedral wedge'!$B$1</definedName>
    <definedName name="Ε1" localSheetId="1">'Prismatic wedge'!$B$19</definedName>
    <definedName name="Ε2" localSheetId="1">'Prismatic wedge'!$B$20</definedName>
    <definedName name="θ0" localSheetId="1">'Prismatic wedge'!$K$2</definedName>
    <definedName name="θ0" localSheetId="4">'Tetrahedral wedge'!$K$2</definedName>
    <definedName name="θ1" localSheetId="0">Nomeclature!$B$16</definedName>
    <definedName name="θ1" localSheetId="1">'Prismatic wedge'!$B$16</definedName>
    <definedName name="θ2" localSheetId="0">Nomeclature!$B$17</definedName>
    <definedName name="θ2" localSheetId="1">'Prismatic wedge'!$B$17</definedName>
    <definedName name="σt" localSheetId="0">Nomeclature!$B$5</definedName>
    <definedName name="σt" localSheetId="1">'Prismatic wedge'!$B$5</definedName>
    <definedName name="σt1" localSheetId="4">'Tetrahedral wedge'!$B$5</definedName>
    <definedName name="φ" localSheetId="0">Nomeclature!$B$3</definedName>
    <definedName name="φ" localSheetId="1">'Prismatic wedge'!$B$3</definedName>
    <definedName name="φ" localSheetId="3">'results_Asymmetric wedge'!$B$3</definedName>
    <definedName name="φ" localSheetId="2">'results_Symmetric wedge'!$B$3</definedName>
    <definedName name="φ1" localSheetId="5">results_tetrahedral!$B$3</definedName>
    <definedName name="φ1" localSheetId="4">'Tetrahedral wedge'!$B$3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K2" i="1"/>
  <c r="CA4" i="5"/>
  <c r="CA17" i="5" s="1"/>
  <c r="T24" i="5"/>
  <c r="B3" i="5"/>
  <c r="B7" i="4"/>
  <c r="H6" i="3"/>
  <c r="AR204" i="1"/>
  <c r="V204" i="1"/>
  <c r="AM6" i="5"/>
  <c r="B3" i="1"/>
  <c r="BS13" i="5"/>
  <c r="B4" i="5"/>
  <c r="B13" i="5"/>
  <c r="BX39" i="5"/>
  <c r="BP30" i="5"/>
  <c r="CA20" i="5"/>
  <c r="CA33" i="5" s="1"/>
  <c r="CA21" i="5"/>
  <c r="CA34" i="5" s="1"/>
  <c r="CA22" i="5"/>
  <c r="CA35" i="5" s="1"/>
  <c r="CA23" i="5"/>
  <c r="CA36" i="5" s="1"/>
  <c r="CA24" i="5"/>
  <c r="CA37" i="5" s="1"/>
  <c r="CA25" i="5"/>
  <c r="CA38" i="5" s="1"/>
  <c r="BP18" i="5"/>
  <c r="BP31" i="5" s="1"/>
  <c r="BP19" i="5"/>
  <c r="BP32" i="5" s="1"/>
  <c r="BP20" i="5"/>
  <c r="BP33" i="5" s="1"/>
  <c r="BW20" i="5"/>
  <c r="BW33" i="5" s="1"/>
  <c r="BV48" i="5" s="1"/>
  <c r="BX20" i="5"/>
  <c r="BX33" i="5" s="1"/>
  <c r="BW48" i="5" s="1"/>
  <c r="BY20" i="5"/>
  <c r="BY33" i="5" s="1"/>
  <c r="BX48" i="5" s="1"/>
  <c r="BP21" i="5"/>
  <c r="BP34" i="5" s="1"/>
  <c r="BW21" i="5"/>
  <c r="BW34" i="5" s="1"/>
  <c r="BV49" i="5" s="1"/>
  <c r="BX21" i="5"/>
  <c r="BX34" i="5" s="1"/>
  <c r="BW49" i="5" s="1"/>
  <c r="BY21" i="5"/>
  <c r="BY34" i="5" s="1"/>
  <c r="BX49" i="5" s="1"/>
  <c r="BP22" i="5"/>
  <c r="BP35" i="5" s="1"/>
  <c r="BW22" i="5"/>
  <c r="BW35" i="5" s="1"/>
  <c r="BV50" i="5" s="1"/>
  <c r="BX22" i="5"/>
  <c r="BX35" i="5" s="1"/>
  <c r="BW50" i="5" s="1"/>
  <c r="BY22" i="5"/>
  <c r="BY35" i="5" s="1"/>
  <c r="BX50" i="5" s="1"/>
  <c r="BP23" i="5"/>
  <c r="BP36" i="5" s="1"/>
  <c r="BT23" i="5"/>
  <c r="BT36" i="5" s="1"/>
  <c r="BS51" i="5" s="1"/>
  <c r="BU23" i="5"/>
  <c r="BU36" i="5" s="1"/>
  <c r="BT51" i="5" s="1"/>
  <c r="BV23" i="5"/>
  <c r="BV36" i="5" s="1"/>
  <c r="BU51" i="5" s="1"/>
  <c r="BP24" i="5"/>
  <c r="BP37" i="5" s="1"/>
  <c r="BT24" i="5"/>
  <c r="BT37" i="5" s="1"/>
  <c r="BS52" i="5" s="1"/>
  <c r="BU24" i="5"/>
  <c r="BU37" i="5" s="1"/>
  <c r="BT52" i="5" s="1"/>
  <c r="BV24" i="5"/>
  <c r="BV37" i="5" s="1"/>
  <c r="BU52" i="5" s="1"/>
  <c r="BP25" i="5"/>
  <c r="BP38" i="5" s="1"/>
  <c r="BT25" i="5"/>
  <c r="BT38" i="5" s="1"/>
  <c r="BS53" i="5" s="1"/>
  <c r="BU25" i="5"/>
  <c r="BU38" i="5" s="1"/>
  <c r="BT53" i="5" s="1"/>
  <c r="BV25" i="5"/>
  <c r="BV38" i="5" s="1"/>
  <c r="BU53" i="5" s="1"/>
  <c r="BP17" i="5"/>
  <c r="BH7" i="5"/>
  <c r="BH6" i="5"/>
  <c r="BE7" i="5"/>
  <c r="BE6" i="5"/>
  <c r="BF11" i="5" s="1"/>
  <c r="BW12" i="5" s="1"/>
  <c r="BW25" i="5" s="1"/>
  <c r="BW38" i="5" s="1"/>
  <c r="BV53" i="5" s="1"/>
  <c r="AJ7" i="5"/>
  <c r="AJ6" i="5"/>
  <c r="AJ11" i="5" s="1"/>
  <c r="BT8" i="5" s="1"/>
  <c r="BT21" i="5" s="1"/>
  <c r="BT34" i="5" s="1"/>
  <c r="BS49" i="5" s="1"/>
  <c r="O7" i="5"/>
  <c r="O6" i="5"/>
  <c r="P9" i="5" s="1"/>
  <c r="BS12" i="5" s="1"/>
  <c r="BS25" i="5" s="1"/>
  <c r="BS38" i="5" s="1"/>
  <c r="BR53" i="5" s="1"/>
  <c r="B8" i="5"/>
  <c r="AC77" i="5" s="1"/>
  <c r="BW39" i="5" l="1"/>
  <c r="BT26" i="5"/>
  <c r="BV26" i="5"/>
  <c r="BY39" i="5"/>
  <c r="BQ13" i="5"/>
  <c r="AI9" i="5"/>
  <c r="BV4" i="5" s="1"/>
  <c r="BV17" i="5" s="1"/>
  <c r="BV30" i="5" s="1"/>
  <c r="BU45" i="5" s="1"/>
  <c r="O9" i="5"/>
  <c r="BS11" i="5" s="1"/>
  <c r="BS24" i="5" s="1"/>
  <c r="BS37" i="5" s="1"/>
  <c r="BR52" i="5" s="1"/>
  <c r="P11" i="5"/>
  <c r="BS9" i="5"/>
  <c r="BS22" i="5" s="1"/>
  <c r="BS35" i="5" s="1"/>
  <c r="BR50" i="5" s="1"/>
  <c r="BS6" i="5"/>
  <c r="BS19" i="5" s="1"/>
  <c r="BS32" i="5" s="1"/>
  <c r="BR47" i="5" s="1"/>
  <c r="AK11" i="5"/>
  <c r="I112" i="5"/>
  <c r="G115" i="5"/>
  <c r="G85" i="5"/>
  <c r="G74" i="5"/>
  <c r="H77" i="5"/>
  <c r="G114" i="5"/>
  <c r="H63" i="5"/>
  <c r="AC71" i="5"/>
  <c r="H61" i="5"/>
  <c r="G84" i="5"/>
  <c r="G28" i="5"/>
  <c r="I110" i="5"/>
  <c r="G26" i="5"/>
  <c r="I93" i="5"/>
  <c r="G24" i="5"/>
  <c r="H111" i="5"/>
  <c r="I88" i="5"/>
  <c r="H47" i="5"/>
  <c r="G106" i="5"/>
  <c r="G60" i="5"/>
  <c r="H109" i="5"/>
  <c r="H45" i="5"/>
  <c r="I70" i="5"/>
  <c r="AJ9" i="5"/>
  <c r="BD9" i="5"/>
  <c r="G72" i="5"/>
  <c r="G104" i="5"/>
  <c r="G58" i="5"/>
  <c r="H95" i="5"/>
  <c r="H31" i="5"/>
  <c r="I69" i="5"/>
  <c r="AK9" i="5"/>
  <c r="BE9" i="5"/>
  <c r="O11" i="5"/>
  <c r="G95" i="5"/>
  <c r="G44" i="5"/>
  <c r="H93" i="5"/>
  <c r="H29" i="5"/>
  <c r="I46" i="5"/>
  <c r="N9" i="5"/>
  <c r="AD116" i="5"/>
  <c r="AI11" i="5"/>
  <c r="BF9" i="5"/>
  <c r="BW6" i="5" s="1"/>
  <c r="BW19" i="5" s="1"/>
  <c r="BW32" i="5" s="1"/>
  <c r="BV47" i="5" s="1"/>
  <c r="G94" i="5"/>
  <c r="G42" i="5"/>
  <c r="H79" i="5"/>
  <c r="I40" i="5"/>
  <c r="AC94" i="5"/>
  <c r="BD11" i="5"/>
  <c r="BE11" i="5"/>
  <c r="N11" i="5"/>
  <c r="AC37" i="5"/>
  <c r="AC69" i="5"/>
  <c r="AD34" i="5"/>
  <c r="G117" i="5"/>
  <c r="G109" i="5"/>
  <c r="G98" i="5"/>
  <c r="G87" i="5"/>
  <c r="G77" i="5"/>
  <c r="G64" i="5"/>
  <c r="G48" i="5"/>
  <c r="G32" i="5"/>
  <c r="H115" i="5"/>
  <c r="H99" i="5"/>
  <c r="H83" i="5"/>
  <c r="H67" i="5"/>
  <c r="H51" i="5"/>
  <c r="H35" i="5"/>
  <c r="I118" i="5"/>
  <c r="I96" i="5"/>
  <c r="I77" i="5"/>
  <c r="I54" i="5"/>
  <c r="AB122" i="5"/>
  <c r="AG122" i="5" s="1"/>
  <c r="AC99" i="5"/>
  <c r="AY25" i="5"/>
  <c r="AX28" i="5"/>
  <c r="AX30" i="5"/>
  <c r="AW32" i="5"/>
  <c r="AY34" i="5"/>
  <c r="AX37" i="5"/>
  <c r="AW41" i="5"/>
  <c r="AY43" i="5"/>
  <c r="AY47" i="5"/>
  <c r="AW50" i="5"/>
  <c r="AY52" i="5"/>
  <c r="AY54" i="5"/>
  <c r="AX56" i="5"/>
  <c r="AW59" i="5"/>
  <c r="AY61" i="5"/>
  <c r="AW63" i="5"/>
  <c r="AX65" i="5"/>
  <c r="AW68" i="5"/>
  <c r="AW70" i="5"/>
  <c r="AX74" i="5"/>
  <c r="AW77" i="5"/>
  <c r="AY80" i="5"/>
  <c r="AX83" i="5"/>
  <c r="AX87" i="5"/>
  <c r="AY89" i="5"/>
  <c r="AX92" i="5"/>
  <c r="AX94" i="5"/>
  <c r="AW96" i="5"/>
  <c r="AY98" i="5"/>
  <c r="AX101" i="5"/>
  <c r="AW105" i="5"/>
  <c r="AY107" i="5"/>
  <c r="AY111" i="5"/>
  <c r="AW114" i="5"/>
  <c r="AY116" i="5"/>
  <c r="AY118" i="5"/>
  <c r="AX120" i="5"/>
  <c r="AW123" i="5"/>
  <c r="AW26" i="5"/>
  <c r="AY28" i="5"/>
  <c r="AY30" i="5"/>
  <c r="AX32" i="5"/>
  <c r="AW35" i="5"/>
  <c r="AY37" i="5"/>
  <c r="AW39" i="5"/>
  <c r="AX41" i="5"/>
  <c r="AW44" i="5"/>
  <c r="AW46" i="5"/>
  <c r="AX50" i="5"/>
  <c r="AW53" i="5"/>
  <c r="AY56" i="5"/>
  <c r="AX59" i="5"/>
  <c r="AX63" i="5"/>
  <c r="AY65" i="5"/>
  <c r="AX68" i="5"/>
  <c r="AX70" i="5"/>
  <c r="AW72" i="5"/>
  <c r="AY74" i="5"/>
  <c r="AX77" i="5"/>
  <c r="AW81" i="5"/>
  <c r="AY83" i="5"/>
  <c r="AY87" i="5"/>
  <c r="AW90" i="5"/>
  <c r="AY92" i="5"/>
  <c r="AY94" i="5"/>
  <c r="AX96" i="5"/>
  <c r="AW99" i="5"/>
  <c r="AY101" i="5"/>
  <c r="AW103" i="5"/>
  <c r="AX105" i="5"/>
  <c r="AW108" i="5"/>
  <c r="AW110" i="5"/>
  <c r="AX114" i="5"/>
  <c r="AW117" i="5"/>
  <c r="AY120" i="5"/>
  <c r="AX123" i="5"/>
  <c r="AX26" i="5"/>
  <c r="AW29" i="5"/>
  <c r="AY32" i="5"/>
  <c r="AX35" i="5"/>
  <c r="AX39" i="5"/>
  <c r="AY41" i="5"/>
  <c r="AX44" i="5"/>
  <c r="AX46" i="5"/>
  <c r="AW48" i="5"/>
  <c r="AY50" i="5"/>
  <c r="AX53" i="5"/>
  <c r="AW57" i="5"/>
  <c r="AY59" i="5"/>
  <c r="AY63" i="5"/>
  <c r="AW66" i="5"/>
  <c r="AY68" i="5"/>
  <c r="AY70" i="5"/>
  <c r="AX72" i="5"/>
  <c r="AW75" i="5"/>
  <c r="AY77" i="5"/>
  <c r="AW79" i="5"/>
  <c r="AX81" i="5"/>
  <c r="AW84" i="5"/>
  <c r="AW86" i="5"/>
  <c r="AX90" i="5"/>
  <c r="AW93" i="5"/>
  <c r="AY96" i="5"/>
  <c r="AX99" i="5"/>
  <c r="AX103" i="5"/>
  <c r="AY105" i="5"/>
  <c r="AX108" i="5"/>
  <c r="AX110" i="5"/>
  <c r="AW112" i="5"/>
  <c r="AY114" i="5"/>
  <c r="AX117" i="5"/>
  <c r="AW121" i="5"/>
  <c r="AY123" i="5"/>
  <c r="AY24" i="5"/>
  <c r="AY26" i="5"/>
  <c r="AX29" i="5"/>
  <c r="AW33" i="5"/>
  <c r="AY35" i="5"/>
  <c r="AY39" i="5"/>
  <c r="AW42" i="5"/>
  <c r="AY44" i="5"/>
  <c r="AY46" i="5"/>
  <c r="AX48" i="5"/>
  <c r="AW51" i="5"/>
  <c r="AY53" i="5"/>
  <c r="AW55" i="5"/>
  <c r="AX57" i="5"/>
  <c r="AW60" i="5"/>
  <c r="AW62" i="5"/>
  <c r="AX66" i="5"/>
  <c r="AW69" i="5"/>
  <c r="AY72" i="5"/>
  <c r="AX75" i="5"/>
  <c r="AX79" i="5"/>
  <c r="AY81" i="5"/>
  <c r="AX84" i="5"/>
  <c r="AX86" i="5"/>
  <c r="AW88" i="5"/>
  <c r="AY90" i="5"/>
  <c r="AX93" i="5"/>
  <c r="AW97" i="5"/>
  <c r="AY99" i="5"/>
  <c r="AY103" i="5"/>
  <c r="AW106" i="5"/>
  <c r="AY108" i="5"/>
  <c r="AY110" i="5"/>
  <c r="AX112" i="5"/>
  <c r="AW115" i="5"/>
  <c r="AY117" i="5"/>
  <c r="AW119" i="5"/>
  <c r="AX121" i="5"/>
  <c r="AW124" i="5"/>
  <c r="AX24" i="5"/>
  <c r="AW27" i="5"/>
  <c r="AY29" i="5"/>
  <c r="AW31" i="5"/>
  <c r="AX33" i="5"/>
  <c r="AW36" i="5"/>
  <c r="AW38" i="5"/>
  <c r="AX42" i="5"/>
  <c r="AW45" i="5"/>
  <c r="AY48" i="5"/>
  <c r="AX51" i="5"/>
  <c r="AX55" i="5"/>
  <c r="AY57" i="5"/>
  <c r="AX60" i="5"/>
  <c r="AX62" i="5"/>
  <c r="AW64" i="5"/>
  <c r="AY66" i="5"/>
  <c r="AX69" i="5"/>
  <c r="AW73" i="5"/>
  <c r="AY75" i="5"/>
  <c r="AY79" i="5"/>
  <c r="AW82" i="5"/>
  <c r="AY84" i="5"/>
  <c r="AY86" i="5"/>
  <c r="AX88" i="5"/>
  <c r="AW91" i="5"/>
  <c r="AY93" i="5"/>
  <c r="AW95" i="5"/>
  <c r="AX97" i="5"/>
  <c r="AW100" i="5"/>
  <c r="AW102" i="5"/>
  <c r="AX106" i="5"/>
  <c r="AW109" i="5"/>
  <c r="AY112" i="5"/>
  <c r="AX115" i="5"/>
  <c r="AX119" i="5"/>
  <c r="AY121" i="5"/>
  <c r="AX124" i="5"/>
  <c r="AW24" i="5"/>
  <c r="AW25" i="5"/>
  <c r="AY27" i="5"/>
  <c r="AY31" i="5"/>
  <c r="AW34" i="5"/>
  <c r="AY36" i="5"/>
  <c r="AY38" i="5"/>
  <c r="AX40" i="5"/>
  <c r="AW43" i="5"/>
  <c r="AY45" i="5"/>
  <c r="AW47" i="5"/>
  <c r="AX49" i="5"/>
  <c r="AW52" i="5"/>
  <c r="AW54" i="5"/>
  <c r="AX58" i="5"/>
  <c r="AW61" i="5"/>
  <c r="AY64" i="5"/>
  <c r="AX67" i="5"/>
  <c r="AX71" i="5"/>
  <c r="AY73" i="5"/>
  <c r="AX76" i="5"/>
  <c r="AX78" i="5"/>
  <c r="AW80" i="5"/>
  <c r="AY82" i="5"/>
  <c r="AX85" i="5"/>
  <c r="AW89" i="5"/>
  <c r="AY91" i="5"/>
  <c r="AY95" i="5"/>
  <c r="AW98" i="5"/>
  <c r="AY100" i="5"/>
  <c r="AY102" i="5"/>
  <c r="AX104" i="5"/>
  <c r="AW107" i="5"/>
  <c r="AY109" i="5"/>
  <c r="AW111" i="5"/>
  <c r="AX113" i="5"/>
  <c r="AW116" i="5"/>
  <c r="AW118" i="5"/>
  <c r="AX122" i="5"/>
  <c r="AX31" i="5"/>
  <c r="AW40" i="5"/>
  <c r="AW49" i="5"/>
  <c r="AW58" i="5"/>
  <c r="AW67" i="5"/>
  <c r="AW76" i="5"/>
  <c r="AW85" i="5"/>
  <c r="AX102" i="5"/>
  <c r="AY119" i="5"/>
  <c r="AY40" i="5"/>
  <c r="AY49" i="5"/>
  <c r="AY58" i="5"/>
  <c r="AY67" i="5"/>
  <c r="AY76" i="5"/>
  <c r="AY85" i="5"/>
  <c r="AW94" i="5"/>
  <c r="AX111" i="5"/>
  <c r="AW120" i="5"/>
  <c r="AY33" i="5"/>
  <c r="AY42" i="5"/>
  <c r="AY51" i="5"/>
  <c r="AY60" i="5"/>
  <c r="AY69" i="5"/>
  <c r="AW78" i="5"/>
  <c r="AX95" i="5"/>
  <c r="AW104" i="5"/>
  <c r="AW113" i="5"/>
  <c r="AW122" i="5"/>
  <c r="AX25" i="5"/>
  <c r="AX34" i="5"/>
  <c r="AX43" i="5"/>
  <c r="AX52" i="5"/>
  <c r="AX61" i="5"/>
  <c r="AY78" i="5"/>
  <c r="AW87" i="5"/>
  <c r="AY104" i="5"/>
  <c r="AY113" i="5"/>
  <c r="AY122" i="5"/>
  <c r="AX38" i="5"/>
  <c r="AY55" i="5"/>
  <c r="AX64" i="5"/>
  <c r="AX73" i="5"/>
  <c r="AX82" i="5"/>
  <c r="AX91" i="5"/>
  <c r="AX100" i="5"/>
  <c r="AX109" i="5"/>
  <c r="AW30" i="5"/>
  <c r="AX47" i="5"/>
  <c r="AW56" i="5"/>
  <c r="AW65" i="5"/>
  <c r="AW74" i="5"/>
  <c r="AW83" i="5"/>
  <c r="AW92" i="5"/>
  <c r="AW101" i="5"/>
  <c r="AX118" i="5"/>
  <c r="AX45" i="5"/>
  <c r="AY115" i="5"/>
  <c r="AB27" i="5"/>
  <c r="AF27" i="5" s="1"/>
  <c r="AD29" i="5"/>
  <c r="AD31" i="5"/>
  <c r="AC33" i="5"/>
  <c r="AD35" i="5"/>
  <c r="AB38" i="5"/>
  <c r="AC44" i="5"/>
  <c r="AD46" i="5"/>
  <c r="AC48" i="5"/>
  <c r="AC50" i="5"/>
  <c r="AB53" i="5"/>
  <c r="AB55" i="5"/>
  <c r="AB59" i="5"/>
  <c r="AD61" i="5"/>
  <c r="AD63" i="5"/>
  <c r="AC65" i="5"/>
  <c r="AD67" i="5"/>
  <c r="AB70" i="5"/>
  <c r="AC76" i="5"/>
  <c r="AD78" i="5"/>
  <c r="AC80" i="5"/>
  <c r="AC82" i="5"/>
  <c r="AB85" i="5"/>
  <c r="AB87" i="5"/>
  <c r="AB91" i="5"/>
  <c r="AD93" i="5"/>
  <c r="AD95" i="5"/>
  <c r="AC97" i="5"/>
  <c r="AD99" i="5"/>
  <c r="AB102" i="5"/>
  <c r="AC108" i="5"/>
  <c r="AD110" i="5"/>
  <c r="AC112" i="5"/>
  <c r="AC114" i="5"/>
  <c r="AB117" i="5"/>
  <c r="AB119" i="5"/>
  <c r="AB123" i="5"/>
  <c r="AX80" i="5"/>
  <c r="AX116" i="5"/>
  <c r="AB25" i="5"/>
  <c r="AC27" i="5"/>
  <c r="AD33" i="5"/>
  <c r="AB36" i="5"/>
  <c r="AC38" i="5"/>
  <c r="AB40" i="5"/>
  <c r="AB42" i="5"/>
  <c r="AD44" i="5"/>
  <c r="AD48" i="5"/>
  <c r="AD50" i="5"/>
  <c r="AC53" i="5"/>
  <c r="AC55" i="5"/>
  <c r="AB57" i="5"/>
  <c r="AC59" i="5"/>
  <c r="AD65" i="5"/>
  <c r="AB68" i="5"/>
  <c r="AC70" i="5"/>
  <c r="AB72" i="5"/>
  <c r="AB74" i="5"/>
  <c r="AD76" i="5"/>
  <c r="AD80" i="5"/>
  <c r="AD82" i="5"/>
  <c r="AC85" i="5"/>
  <c r="AC87" i="5"/>
  <c r="AB89" i="5"/>
  <c r="AC91" i="5"/>
  <c r="AD97" i="5"/>
  <c r="AB100" i="5"/>
  <c r="AC102" i="5"/>
  <c r="AB104" i="5"/>
  <c r="AB106" i="5"/>
  <c r="AD108" i="5"/>
  <c r="AD112" i="5"/>
  <c r="AD114" i="5"/>
  <c r="AC117" i="5"/>
  <c r="AC119" i="5"/>
  <c r="AB121" i="5"/>
  <c r="AC123" i="5"/>
  <c r="AY88" i="5"/>
  <c r="AY124" i="5"/>
  <c r="AC25" i="5"/>
  <c r="AD27" i="5"/>
  <c r="AB30" i="5"/>
  <c r="AC36" i="5"/>
  <c r="AD38" i="5"/>
  <c r="AC40" i="5"/>
  <c r="AC42" i="5"/>
  <c r="AB45" i="5"/>
  <c r="AB47" i="5"/>
  <c r="AB51" i="5"/>
  <c r="AD53" i="5"/>
  <c r="AD55" i="5"/>
  <c r="AC57" i="5"/>
  <c r="AD59" i="5"/>
  <c r="AB62" i="5"/>
  <c r="AC68" i="5"/>
  <c r="AD70" i="5"/>
  <c r="AC72" i="5"/>
  <c r="AC74" i="5"/>
  <c r="AB77" i="5"/>
  <c r="AB79" i="5"/>
  <c r="AB83" i="5"/>
  <c r="AD85" i="5"/>
  <c r="AD87" i="5"/>
  <c r="AC89" i="5"/>
  <c r="AD91" i="5"/>
  <c r="AB94" i="5"/>
  <c r="AC100" i="5"/>
  <c r="AD102" i="5"/>
  <c r="AC104" i="5"/>
  <c r="AC106" i="5"/>
  <c r="AB109" i="5"/>
  <c r="AB111" i="5"/>
  <c r="AB115" i="5"/>
  <c r="AD117" i="5"/>
  <c r="AD119" i="5"/>
  <c r="AC121" i="5"/>
  <c r="AD123" i="5"/>
  <c r="AX54" i="5"/>
  <c r="AZ54" i="5" s="1"/>
  <c r="AX89" i="5"/>
  <c r="AD25" i="5"/>
  <c r="AF25" i="5" s="1"/>
  <c r="AB28" i="5"/>
  <c r="AC30" i="5"/>
  <c r="AB32" i="5"/>
  <c r="AB34" i="5"/>
  <c r="AD36" i="5"/>
  <c r="AD40" i="5"/>
  <c r="AD42" i="5"/>
  <c r="AC45" i="5"/>
  <c r="AC47" i="5"/>
  <c r="AB49" i="5"/>
  <c r="AC51" i="5"/>
  <c r="AD57" i="5"/>
  <c r="AB60" i="5"/>
  <c r="AC62" i="5"/>
  <c r="AB64" i="5"/>
  <c r="AB66" i="5"/>
  <c r="AD68" i="5"/>
  <c r="AX27" i="5"/>
  <c r="AY62" i="5"/>
  <c r="AY97" i="5"/>
  <c r="AC28" i="5"/>
  <c r="AD30" i="5"/>
  <c r="AC32" i="5"/>
  <c r="AC34" i="5"/>
  <c r="AB37" i="5"/>
  <c r="AB39" i="5"/>
  <c r="AB43" i="5"/>
  <c r="AD45" i="5"/>
  <c r="AD47" i="5"/>
  <c r="AC49" i="5"/>
  <c r="AD51" i="5"/>
  <c r="AB54" i="5"/>
  <c r="AC60" i="5"/>
  <c r="AD62" i="5"/>
  <c r="AC64" i="5"/>
  <c r="AC66" i="5"/>
  <c r="AB69" i="5"/>
  <c r="AB71" i="5"/>
  <c r="AB75" i="5"/>
  <c r="AD77" i="5"/>
  <c r="AD79" i="5"/>
  <c r="AC81" i="5"/>
  <c r="AD83" i="5"/>
  <c r="AB86" i="5"/>
  <c r="AC92" i="5"/>
  <c r="AD94" i="5"/>
  <c r="AC96" i="5"/>
  <c r="AC98" i="5"/>
  <c r="AB101" i="5"/>
  <c r="AB103" i="5"/>
  <c r="AB107" i="5"/>
  <c r="AD109" i="5"/>
  <c r="AD111" i="5"/>
  <c r="AC113" i="5"/>
  <c r="AD115" i="5"/>
  <c r="AB118" i="5"/>
  <c r="AD24" i="5"/>
  <c r="AX36" i="5"/>
  <c r="AW71" i="5"/>
  <c r="AY106" i="5"/>
  <c r="AC26" i="5"/>
  <c r="AB29" i="5"/>
  <c r="AB31" i="5"/>
  <c r="AB35" i="5"/>
  <c r="AD37" i="5"/>
  <c r="AD39" i="5"/>
  <c r="AC41" i="5"/>
  <c r="AD43" i="5"/>
  <c r="AB46" i="5"/>
  <c r="AC52" i="5"/>
  <c r="AD54" i="5"/>
  <c r="AC56" i="5"/>
  <c r="AC58" i="5"/>
  <c r="AB61" i="5"/>
  <c r="AB63" i="5"/>
  <c r="AB67" i="5"/>
  <c r="AD69" i="5"/>
  <c r="AD71" i="5"/>
  <c r="AC73" i="5"/>
  <c r="AD75" i="5"/>
  <c r="AB78" i="5"/>
  <c r="AC84" i="5"/>
  <c r="AD86" i="5"/>
  <c r="AC88" i="5"/>
  <c r="AC90" i="5"/>
  <c r="AB93" i="5"/>
  <c r="AB95" i="5"/>
  <c r="AB99" i="5"/>
  <c r="AD101" i="5"/>
  <c r="AD103" i="5"/>
  <c r="AC105" i="5"/>
  <c r="AD107" i="5"/>
  <c r="AB110" i="5"/>
  <c r="AC116" i="5"/>
  <c r="AD118" i="5"/>
  <c r="AC120" i="5"/>
  <c r="AC122" i="5"/>
  <c r="AC29" i="5"/>
  <c r="AC46" i="5"/>
  <c r="AC63" i="5"/>
  <c r="AC83" i="5"/>
  <c r="AD88" i="5"/>
  <c r="AD100" i="5"/>
  <c r="AD105" i="5"/>
  <c r="AD122" i="5"/>
  <c r="I25" i="5"/>
  <c r="I33" i="5"/>
  <c r="I41" i="5"/>
  <c r="I49" i="5"/>
  <c r="I57" i="5"/>
  <c r="I65" i="5"/>
  <c r="I73" i="5"/>
  <c r="I81" i="5"/>
  <c r="I89" i="5"/>
  <c r="I97" i="5"/>
  <c r="I105" i="5"/>
  <c r="I113" i="5"/>
  <c r="I121" i="5"/>
  <c r="H30" i="5"/>
  <c r="H38" i="5"/>
  <c r="H46" i="5"/>
  <c r="H54" i="5"/>
  <c r="H62" i="5"/>
  <c r="H70" i="5"/>
  <c r="H78" i="5"/>
  <c r="H86" i="5"/>
  <c r="H94" i="5"/>
  <c r="H102" i="5"/>
  <c r="H110" i="5"/>
  <c r="H118" i="5"/>
  <c r="G27" i="5"/>
  <c r="G35" i="5"/>
  <c r="G43" i="5"/>
  <c r="G51" i="5"/>
  <c r="G59" i="5"/>
  <c r="G67" i="5"/>
  <c r="G75" i="5"/>
  <c r="G83" i="5"/>
  <c r="G91" i="5"/>
  <c r="G99" i="5"/>
  <c r="G107" i="5"/>
  <c r="AC39" i="5"/>
  <c r="AB56" i="5"/>
  <c r="AD64" i="5"/>
  <c r="AD72" i="5"/>
  <c r="AC78" i="5"/>
  <c r="AB84" i="5"/>
  <c r="AD89" i="5"/>
  <c r="AC95" i="5"/>
  <c r="AC101" i="5"/>
  <c r="AD106" i="5"/>
  <c r="AB112" i="5"/>
  <c r="AC118" i="5"/>
  <c r="AB24" i="5"/>
  <c r="I26" i="5"/>
  <c r="I34" i="5"/>
  <c r="I42" i="5"/>
  <c r="I50" i="5"/>
  <c r="I58" i="5"/>
  <c r="I66" i="5"/>
  <c r="I74" i="5"/>
  <c r="I82" i="5"/>
  <c r="I90" i="5"/>
  <c r="I98" i="5"/>
  <c r="I106" i="5"/>
  <c r="I114" i="5"/>
  <c r="I24" i="5"/>
  <c r="AW28" i="5"/>
  <c r="AC31" i="5"/>
  <c r="AB48" i="5"/>
  <c r="AD56" i="5"/>
  <c r="AB65" i="5"/>
  <c r="AB73" i="5"/>
  <c r="AC79" i="5"/>
  <c r="AD84" i="5"/>
  <c r="AB90" i="5"/>
  <c r="AB96" i="5"/>
  <c r="AC107" i="5"/>
  <c r="AB113" i="5"/>
  <c r="AC24" i="5"/>
  <c r="I27" i="5"/>
  <c r="I35" i="5"/>
  <c r="I43" i="5"/>
  <c r="I51" i="5"/>
  <c r="I59" i="5"/>
  <c r="I67" i="5"/>
  <c r="I75" i="5"/>
  <c r="I83" i="5"/>
  <c r="I91" i="5"/>
  <c r="I99" i="5"/>
  <c r="I107" i="5"/>
  <c r="I115" i="5"/>
  <c r="H32" i="5"/>
  <c r="H40" i="5"/>
  <c r="H48" i="5"/>
  <c r="H56" i="5"/>
  <c r="H64" i="5"/>
  <c r="H72" i="5"/>
  <c r="H80" i="5"/>
  <c r="H88" i="5"/>
  <c r="H96" i="5"/>
  <c r="H104" i="5"/>
  <c r="H112" i="5"/>
  <c r="H120" i="5"/>
  <c r="G29" i="5"/>
  <c r="G37" i="5"/>
  <c r="G45" i="5"/>
  <c r="G53" i="5"/>
  <c r="G61" i="5"/>
  <c r="AW37" i="5"/>
  <c r="AD32" i="5"/>
  <c r="AB41" i="5"/>
  <c r="AD49" i="5"/>
  <c r="AB58" i="5"/>
  <c r="AD66" i="5"/>
  <c r="AD73" i="5"/>
  <c r="AD90" i="5"/>
  <c r="AD96" i="5"/>
  <c r="AB108" i="5"/>
  <c r="AF108" i="5" s="1"/>
  <c r="AD113" i="5"/>
  <c r="I28" i="5"/>
  <c r="I36" i="5"/>
  <c r="I44" i="5"/>
  <c r="I52" i="5"/>
  <c r="I60" i="5"/>
  <c r="I68" i="5"/>
  <c r="I76" i="5"/>
  <c r="I84" i="5"/>
  <c r="I92" i="5"/>
  <c r="I100" i="5"/>
  <c r="I108" i="5"/>
  <c r="I116" i="5"/>
  <c r="H25" i="5"/>
  <c r="H33" i="5"/>
  <c r="H41" i="5"/>
  <c r="H49" i="5"/>
  <c r="H57" i="5"/>
  <c r="H65" i="5"/>
  <c r="H73" i="5"/>
  <c r="H81" i="5"/>
  <c r="H89" i="5"/>
  <c r="H97" i="5"/>
  <c r="H105" i="5"/>
  <c r="H113" i="5"/>
  <c r="H121" i="5"/>
  <c r="G30" i="5"/>
  <c r="G38" i="5"/>
  <c r="G46" i="5"/>
  <c r="G54" i="5"/>
  <c r="G62" i="5"/>
  <c r="G70" i="5"/>
  <c r="AB33" i="5"/>
  <c r="AD41" i="5"/>
  <c r="AB50" i="5"/>
  <c r="AD58" i="5"/>
  <c r="AC67" i="5"/>
  <c r="AD74" i="5"/>
  <c r="AB80" i="5"/>
  <c r="AC86" i="5"/>
  <c r="AB92" i="5"/>
  <c r="AB97" i="5"/>
  <c r="AC103" i="5"/>
  <c r="AC109" i="5"/>
  <c r="AB114" i="5"/>
  <c r="AB120" i="5"/>
  <c r="I29" i="5"/>
  <c r="I37" i="5"/>
  <c r="I45" i="5"/>
  <c r="I53" i="5"/>
  <c r="AX98" i="5"/>
  <c r="AD26" i="5"/>
  <c r="AC35" i="5"/>
  <c r="AB44" i="5"/>
  <c r="AD52" i="5"/>
  <c r="AC61" i="5"/>
  <c r="AB76" i="5"/>
  <c r="AD81" i="5"/>
  <c r="AC93" i="5"/>
  <c r="AD98" i="5"/>
  <c r="AD104" i="5"/>
  <c r="AC110" i="5"/>
  <c r="AB116" i="5"/>
  <c r="AD121" i="5"/>
  <c r="I31" i="5"/>
  <c r="I39" i="5"/>
  <c r="I47" i="5"/>
  <c r="I55" i="5"/>
  <c r="I63" i="5"/>
  <c r="I71" i="5"/>
  <c r="I79" i="5"/>
  <c r="I87" i="5"/>
  <c r="I95" i="5"/>
  <c r="I103" i="5"/>
  <c r="I111" i="5"/>
  <c r="I119" i="5"/>
  <c r="H28" i="5"/>
  <c r="H36" i="5"/>
  <c r="H44" i="5"/>
  <c r="H52" i="5"/>
  <c r="H60" i="5"/>
  <c r="H68" i="5"/>
  <c r="H76" i="5"/>
  <c r="H84" i="5"/>
  <c r="H92" i="5"/>
  <c r="H100" i="5"/>
  <c r="H108" i="5"/>
  <c r="H116" i="5"/>
  <c r="G25" i="5"/>
  <c r="G33" i="5"/>
  <c r="G41" i="5"/>
  <c r="G49" i="5"/>
  <c r="G57" i="5"/>
  <c r="G65" i="5"/>
  <c r="G73" i="5"/>
  <c r="G81" i="5"/>
  <c r="G89" i="5"/>
  <c r="G97" i="5"/>
  <c r="G105" i="5"/>
  <c r="G116" i="5"/>
  <c r="G108" i="5"/>
  <c r="G96" i="5"/>
  <c r="G86" i="5"/>
  <c r="G76" i="5"/>
  <c r="G63" i="5"/>
  <c r="G47" i="5"/>
  <c r="G31" i="5"/>
  <c r="H114" i="5"/>
  <c r="H98" i="5"/>
  <c r="H82" i="5"/>
  <c r="H66" i="5"/>
  <c r="H50" i="5"/>
  <c r="H34" i="5"/>
  <c r="I117" i="5"/>
  <c r="I94" i="5"/>
  <c r="I72" i="5"/>
  <c r="I48" i="5"/>
  <c r="AD120" i="5"/>
  <c r="AB98" i="5"/>
  <c r="AC75" i="5"/>
  <c r="AC43" i="5"/>
  <c r="AD92" i="5"/>
  <c r="G121" i="5"/>
  <c r="G93" i="5"/>
  <c r="G56" i="5"/>
  <c r="H107" i="5"/>
  <c r="H75" i="5"/>
  <c r="H59" i="5"/>
  <c r="H27" i="5"/>
  <c r="I109" i="5"/>
  <c r="I86" i="5"/>
  <c r="I64" i="5"/>
  <c r="I38" i="5"/>
  <c r="AC111" i="5"/>
  <c r="AB88" i="5"/>
  <c r="AD28" i="5"/>
  <c r="AC115" i="5"/>
  <c r="G113" i="5"/>
  <c r="G103" i="5"/>
  <c r="G82" i="5"/>
  <c r="G71" i="5"/>
  <c r="G40" i="5"/>
  <c r="H91" i="5"/>
  <c r="H43" i="5"/>
  <c r="G120" i="5"/>
  <c r="G112" i="5"/>
  <c r="G102" i="5"/>
  <c r="G92" i="5"/>
  <c r="G80" i="5"/>
  <c r="G69" i="5"/>
  <c r="G55" i="5"/>
  <c r="G39" i="5"/>
  <c r="H24" i="5"/>
  <c r="H106" i="5"/>
  <c r="H90" i="5"/>
  <c r="H74" i="5"/>
  <c r="H58" i="5"/>
  <c r="H42" i="5"/>
  <c r="H26" i="5"/>
  <c r="I104" i="5"/>
  <c r="I85" i="5"/>
  <c r="I62" i="5"/>
  <c r="I32" i="5"/>
  <c r="AD60" i="5"/>
  <c r="AB26" i="5"/>
  <c r="G111" i="5"/>
  <c r="G90" i="5"/>
  <c r="G52" i="5"/>
  <c r="H119" i="5"/>
  <c r="H87" i="5"/>
  <c r="H71" i="5"/>
  <c r="H39" i="5"/>
  <c r="I102" i="5"/>
  <c r="I80" i="5"/>
  <c r="I61" i="5"/>
  <c r="I30" i="5"/>
  <c r="AB105" i="5"/>
  <c r="AB82" i="5"/>
  <c r="AC54" i="5"/>
  <c r="AX107" i="5"/>
  <c r="G119" i="5"/>
  <c r="G101" i="5"/>
  <c r="G79" i="5"/>
  <c r="G68" i="5"/>
  <c r="G36" i="5"/>
  <c r="H103" i="5"/>
  <c r="H55" i="5"/>
  <c r="G118" i="5"/>
  <c r="G110" i="5"/>
  <c r="G100" i="5"/>
  <c r="G88" i="5"/>
  <c r="G78" i="5"/>
  <c r="G66" i="5"/>
  <c r="G50" i="5"/>
  <c r="G34" i="5"/>
  <c r="H117" i="5"/>
  <c r="H101" i="5"/>
  <c r="H85" i="5"/>
  <c r="H69" i="5"/>
  <c r="H53" i="5"/>
  <c r="H37" i="5"/>
  <c r="I120" i="5"/>
  <c r="I101" i="5"/>
  <c r="I78" i="5"/>
  <c r="I56" i="5"/>
  <c r="AB81" i="5"/>
  <c r="AB52" i="5"/>
  <c r="AY71" i="5"/>
  <c r="BA71" i="5" s="1"/>
  <c r="BB97" i="5"/>
  <c r="BA83" i="5" l="1"/>
  <c r="BF13" i="5"/>
  <c r="BQ12" i="5"/>
  <c r="BQ25" i="5" s="1"/>
  <c r="BQ38" i="5" s="1"/>
  <c r="BP53" i="5" s="1"/>
  <c r="AF68" i="5"/>
  <c r="BQ9" i="5"/>
  <c r="BQ22" i="5" s="1"/>
  <c r="BQ35" i="5" s="1"/>
  <c r="BP50" i="5" s="1"/>
  <c r="AF57" i="5"/>
  <c r="BB91" i="5"/>
  <c r="BF91" i="5" s="1"/>
  <c r="BB40" i="5"/>
  <c r="AF109" i="5"/>
  <c r="AG120" i="5"/>
  <c r="BB52" i="5"/>
  <c r="BB56" i="5"/>
  <c r="BV7" i="5"/>
  <c r="BV20" i="5" s="1"/>
  <c r="BV33" i="5" s="1"/>
  <c r="BU48" i="5" s="1"/>
  <c r="BS5" i="5"/>
  <c r="BS18" i="5" s="1"/>
  <c r="BS31" i="5" s="1"/>
  <c r="BR46" i="5" s="1"/>
  <c r="AF75" i="5"/>
  <c r="AF100" i="5"/>
  <c r="BA39" i="5"/>
  <c r="BA114" i="5"/>
  <c r="BS8" i="5"/>
  <c r="BS21" i="5" s="1"/>
  <c r="BS34" i="5" s="1"/>
  <c r="BR49" i="5" s="1"/>
  <c r="BA95" i="5"/>
  <c r="BA36" i="5"/>
  <c r="P13" i="5"/>
  <c r="BR9" i="5" s="1"/>
  <c r="BR22" i="5" s="1"/>
  <c r="BR35" i="5" s="1"/>
  <c r="BQ50" i="5" s="1"/>
  <c r="BB65" i="5"/>
  <c r="BB66" i="5"/>
  <c r="AG76" i="5"/>
  <c r="BA58" i="5"/>
  <c r="BA111" i="5"/>
  <c r="BA79" i="5"/>
  <c r="BA65" i="5"/>
  <c r="AF74" i="5"/>
  <c r="AG91" i="5"/>
  <c r="BA104" i="5"/>
  <c r="BA44" i="5"/>
  <c r="BB41" i="5"/>
  <c r="AF122" i="5"/>
  <c r="AK122" i="5" s="1"/>
  <c r="BQ6" i="5"/>
  <c r="BQ19" i="5" s="1"/>
  <c r="BQ32" i="5" s="1"/>
  <c r="BP47" i="5" s="1"/>
  <c r="K115" i="5"/>
  <c r="AF112" i="5"/>
  <c r="N13" i="5"/>
  <c r="BR4" i="5" s="1"/>
  <c r="BR17" i="5" s="1"/>
  <c r="BR30" i="5" s="1"/>
  <c r="BQ45" i="5" s="1"/>
  <c r="J84" i="5"/>
  <c r="AG100" i="5"/>
  <c r="AF51" i="5"/>
  <c r="BA89" i="5"/>
  <c r="BA47" i="5"/>
  <c r="BB107" i="5"/>
  <c r="AG60" i="5"/>
  <c r="AF101" i="5"/>
  <c r="BB58" i="5"/>
  <c r="J74" i="5"/>
  <c r="K106" i="5"/>
  <c r="AF41" i="5"/>
  <c r="AE83" i="5"/>
  <c r="AF105" i="5"/>
  <c r="AE43" i="5"/>
  <c r="J60" i="5"/>
  <c r="AE76" i="5"/>
  <c r="AG28" i="5"/>
  <c r="BB116" i="5"/>
  <c r="BB34" i="5"/>
  <c r="BA73" i="5"/>
  <c r="AF89" i="5"/>
  <c r="AF66" i="5"/>
  <c r="AF121" i="5"/>
  <c r="BA49" i="5"/>
  <c r="BA91" i="5"/>
  <c r="BA105" i="5"/>
  <c r="BA41" i="5"/>
  <c r="BB114" i="5"/>
  <c r="BB50" i="5"/>
  <c r="J26" i="5"/>
  <c r="BB82" i="5"/>
  <c r="BA87" i="5"/>
  <c r="AF58" i="5"/>
  <c r="BB124" i="5"/>
  <c r="AG68" i="5"/>
  <c r="AK68" i="5" s="1"/>
  <c r="AG108" i="5"/>
  <c r="AK108" i="5" s="1"/>
  <c r="AF44" i="5"/>
  <c r="BA97" i="5"/>
  <c r="BF97" i="5" s="1"/>
  <c r="BA103" i="5"/>
  <c r="BB83" i="5"/>
  <c r="BF83" i="5" s="1"/>
  <c r="BA63" i="5"/>
  <c r="BS10" i="5"/>
  <c r="BS23" i="5" s="1"/>
  <c r="BS36" i="5" s="1"/>
  <c r="BR51" i="5" s="1"/>
  <c r="BS7" i="5"/>
  <c r="BS20" i="5" s="1"/>
  <c r="BS33" i="5" s="1"/>
  <c r="BR48" i="5" s="1"/>
  <c r="BS4" i="5"/>
  <c r="BS17" i="5" s="1"/>
  <c r="BS30" i="5" s="1"/>
  <c r="BR45" i="5" s="1"/>
  <c r="BV6" i="5"/>
  <c r="BV19" i="5" s="1"/>
  <c r="BV32" i="5" s="1"/>
  <c r="BU47" i="5" s="1"/>
  <c r="BV9" i="5"/>
  <c r="BV22" i="5" s="1"/>
  <c r="BV35" i="5" s="1"/>
  <c r="BU50" i="5" s="1"/>
  <c r="BV5" i="5"/>
  <c r="BV18" i="5" s="1"/>
  <c r="BV31" i="5" s="1"/>
  <c r="BU46" i="5" s="1"/>
  <c r="BV8" i="5"/>
  <c r="BV21" i="5" s="1"/>
  <c r="BV34" i="5" s="1"/>
  <c r="BU49" i="5" s="1"/>
  <c r="AF76" i="5"/>
  <c r="BA116" i="5"/>
  <c r="AE54" i="5"/>
  <c r="J94" i="5"/>
  <c r="BB98" i="5"/>
  <c r="BA88" i="5"/>
  <c r="BT9" i="5"/>
  <c r="BT22" i="5" s="1"/>
  <c r="BT35" i="5" s="1"/>
  <c r="BS50" i="5" s="1"/>
  <c r="BT6" i="5"/>
  <c r="BT19" i="5" s="1"/>
  <c r="BT32" i="5" s="1"/>
  <c r="BS47" i="5" s="1"/>
  <c r="BB105" i="5"/>
  <c r="AE86" i="5"/>
  <c r="AE108" i="5"/>
  <c r="AH108" i="5" s="1"/>
  <c r="AJ108" i="5" s="1"/>
  <c r="AZ91" i="5"/>
  <c r="BT5" i="5"/>
  <c r="BT18" i="5" s="1"/>
  <c r="BT31" i="5" s="1"/>
  <c r="BS46" i="5" s="1"/>
  <c r="L24" i="5"/>
  <c r="K84" i="5"/>
  <c r="AE98" i="5"/>
  <c r="AG96" i="5"/>
  <c r="AE107" i="5"/>
  <c r="AG24" i="5"/>
  <c r="AE78" i="5"/>
  <c r="AZ27" i="5"/>
  <c r="BA74" i="5"/>
  <c r="AZ113" i="5"/>
  <c r="BA33" i="5"/>
  <c r="BB25" i="5"/>
  <c r="BA106" i="5"/>
  <c r="O13" i="5"/>
  <c r="BQ4" i="5"/>
  <c r="BQ17" i="5" s="1"/>
  <c r="BQ30" i="5" s="1"/>
  <c r="BP45" i="5" s="1"/>
  <c r="BQ10" i="5"/>
  <c r="BQ23" i="5" s="1"/>
  <c r="BQ36" i="5" s="1"/>
  <c r="BP51" i="5" s="1"/>
  <c r="BQ7" i="5"/>
  <c r="BQ20" i="5" s="1"/>
  <c r="BQ33" i="5" s="1"/>
  <c r="BP48" i="5" s="1"/>
  <c r="BE13" i="5"/>
  <c r="BY12" i="5"/>
  <c r="BY25" i="5" s="1"/>
  <c r="BY38" i="5" s="1"/>
  <c r="BX53" i="5" s="1"/>
  <c r="BY6" i="5"/>
  <c r="BY19" i="5" s="1"/>
  <c r="BY32" i="5" s="1"/>
  <c r="BX47" i="5" s="1"/>
  <c r="L44" i="5"/>
  <c r="AG44" i="5"/>
  <c r="BX6" i="5"/>
  <c r="BX19" i="5" s="1"/>
  <c r="BX32" i="5" s="1"/>
  <c r="BW47" i="5" s="1"/>
  <c r="BX12" i="5"/>
  <c r="BX25" i="5" s="1"/>
  <c r="BX38" i="5" s="1"/>
  <c r="BW53" i="5" s="1"/>
  <c r="L84" i="5"/>
  <c r="P84" i="5" s="1"/>
  <c r="AE44" i="5"/>
  <c r="BW11" i="5"/>
  <c r="BW24" i="5" s="1"/>
  <c r="BW37" i="5" s="1"/>
  <c r="BV52" i="5" s="1"/>
  <c r="BW5" i="5"/>
  <c r="BW18" i="5" s="1"/>
  <c r="BW31" i="5" s="1"/>
  <c r="BV46" i="5" s="1"/>
  <c r="AK13" i="5"/>
  <c r="BT4" i="5"/>
  <c r="BT17" i="5" s="1"/>
  <c r="BT30" i="5" s="1"/>
  <c r="BS45" i="5" s="1"/>
  <c r="BT7" i="5"/>
  <c r="BT20" i="5" s="1"/>
  <c r="BT33" i="5" s="1"/>
  <c r="BS48" i="5" s="1"/>
  <c r="BQ8" i="5"/>
  <c r="BQ21" i="5" s="1"/>
  <c r="BQ34" i="5" s="1"/>
  <c r="BP49" i="5" s="1"/>
  <c r="BQ11" i="5"/>
  <c r="BQ24" i="5" s="1"/>
  <c r="BQ37" i="5" s="1"/>
  <c r="BP52" i="5" s="1"/>
  <c r="BQ5" i="5"/>
  <c r="BQ18" i="5" s="1"/>
  <c r="BQ31" i="5" s="1"/>
  <c r="BP46" i="5" s="1"/>
  <c r="AF115" i="5"/>
  <c r="BA50" i="5"/>
  <c r="AJ13" i="5"/>
  <c r="AE26" i="5"/>
  <c r="L58" i="5"/>
  <c r="AE67" i="5"/>
  <c r="BB28" i="5"/>
  <c r="AG64" i="5"/>
  <c r="AG99" i="5"/>
  <c r="BW4" i="5"/>
  <c r="BW17" i="5" s="1"/>
  <c r="BW30" i="5" s="1"/>
  <c r="BV45" i="5" s="1"/>
  <c r="BW10" i="5"/>
  <c r="BW23" i="5" s="1"/>
  <c r="BW36" i="5" s="1"/>
  <c r="BV51" i="5" s="1"/>
  <c r="BY5" i="5"/>
  <c r="BY18" i="5" s="1"/>
  <c r="BY31" i="5" s="1"/>
  <c r="BX46" i="5" s="1"/>
  <c r="BY11" i="5"/>
  <c r="BY24" i="5" s="1"/>
  <c r="BY37" i="5" s="1"/>
  <c r="BX52" i="5" s="1"/>
  <c r="BY4" i="5"/>
  <c r="BY17" i="5" s="1"/>
  <c r="BY30" i="5" s="1"/>
  <c r="BX45" i="5" s="1"/>
  <c r="BY10" i="5"/>
  <c r="BY23" i="5" s="1"/>
  <c r="BY36" i="5" s="1"/>
  <c r="BX51" i="5" s="1"/>
  <c r="AE24" i="5"/>
  <c r="AF43" i="5"/>
  <c r="AG98" i="5"/>
  <c r="J114" i="5"/>
  <c r="L60" i="5"/>
  <c r="L95" i="5"/>
  <c r="K104" i="5"/>
  <c r="M104" i="5" s="1"/>
  <c r="O104" i="5" s="1"/>
  <c r="AF84" i="5"/>
  <c r="AG74" i="5"/>
  <c r="AF33" i="5"/>
  <c r="AG114" i="5"/>
  <c r="BB49" i="5"/>
  <c r="BB89" i="5"/>
  <c r="BA67" i="5"/>
  <c r="BA25" i="5"/>
  <c r="BB64" i="5"/>
  <c r="BB106" i="5"/>
  <c r="BB84" i="5"/>
  <c r="BB42" i="5"/>
  <c r="BA121" i="5"/>
  <c r="BB57" i="5"/>
  <c r="BB92" i="5"/>
  <c r="BA107" i="5"/>
  <c r="AG90" i="5"/>
  <c r="AG75" i="5"/>
  <c r="AF35" i="5"/>
  <c r="AG66" i="5"/>
  <c r="AF45" i="5"/>
  <c r="BA28" i="5"/>
  <c r="BA42" i="5"/>
  <c r="BB33" i="5"/>
  <c r="K85" i="5"/>
  <c r="AE118" i="5"/>
  <c r="AF37" i="5"/>
  <c r="AZ65" i="5"/>
  <c r="BB104" i="5"/>
  <c r="AG70" i="5"/>
  <c r="AZ64" i="5"/>
  <c r="AG84" i="5"/>
  <c r="BA57" i="5"/>
  <c r="BB121" i="5"/>
  <c r="L104" i="5"/>
  <c r="J104" i="5"/>
  <c r="AZ124" i="5"/>
  <c r="BD13" i="5"/>
  <c r="BB113" i="5"/>
  <c r="AF98" i="5"/>
  <c r="AF107" i="5"/>
  <c r="BA92" i="5"/>
  <c r="AF93" i="5"/>
  <c r="AE50" i="5"/>
  <c r="AE58" i="5"/>
  <c r="AH58" i="5" s="1"/>
  <c r="AJ58" i="5" s="1"/>
  <c r="L72" i="5"/>
  <c r="L114" i="5"/>
  <c r="AG88" i="5"/>
  <c r="AG116" i="5"/>
  <c r="AF113" i="5"/>
  <c r="AG94" i="5"/>
  <c r="AF49" i="5"/>
  <c r="AG30" i="5"/>
  <c r="AE62" i="5"/>
  <c r="AF106" i="5"/>
  <c r="AF65" i="5"/>
  <c r="AF42" i="5"/>
  <c r="AZ80" i="5"/>
  <c r="AF102" i="5"/>
  <c r="AF82" i="5"/>
  <c r="AF38" i="5"/>
  <c r="AZ38" i="5"/>
  <c r="AZ43" i="5"/>
  <c r="AZ100" i="5"/>
  <c r="AZ36" i="5"/>
  <c r="BA119" i="5"/>
  <c r="BA75" i="5"/>
  <c r="BA55" i="5"/>
  <c r="BB115" i="5"/>
  <c r="BB72" i="5"/>
  <c r="BB51" i="5"/>
  <c r="AZ68" i="5"/>
  <c r="AZ46" i="5"/>
  <c r="BA123" i="5"/>
  <c r="AZ81" i="5"/>
  <c r="AZ59" i="5"/>
  <c r="BB96" i="5"/>
  <c r="BB74" i="5"/>
  <c r="BA32" i="5"/>
  <c r="J115" i="5"/>
  <c r="AE114" i="5"/>
  <c r="AG107" i="5"/>
  <c r="BA82" i="5"/>
  <c r="BA113" i="5"/>
  <c r="K42" i="5"/>
  <c r="L106" i="5"/>
  <c r="J44" i="5"/>
  <c r="J28" i="5"/>
  <c r="AF110" i="5"/>
  <c r="AF90" i="5"/>
  <c r="AF46" i="5"/>
  <c r="AF92" i="5"/>
  <c r="AF28" i="5"/>
  <c r="AK28" i="5" s="1"/>
  <c r="AG36" i="5"/>
  <c r="AE104" i="5"/>
  <c r="AG83" i="5"/>
  <c r="AG104" i="5"/>
  <c r="AG123" i="5"/>
  <c r="AE80" i="5"/>
  <c r="BA122" i="5"/>
  <c r="AZ60" i="5"/>
  <c r="BA76" i="5"/>
  <c r="BA52" i="5"/>
  <c r="AZ73" i="5"/>
  <c r="AZ112" i="5"/>
  <c r="BA90" i="5"/>
  <c r="AZ48" i="5"/>
  <c r="BA26" i="5"/>
  <c r="BB108" i="5"/>
  <c r="BA84" i="5"/>
  <c r="AZ66" i="5"/>
  <c r="BB44" i="5"/>
  <c r="BA120" i="5"/>
  <c r="BA99" i="5"/>
  <c r="BB35" i="5"/>
  <c r="AF34" i="5"/>
  <c r="AI13" i="5"/>
  <c r="AF67" i="5"/>
  <c r="AF114" i="5"/>
  <c r="BA27" i="5"/>
  <c r="K95" i="5"/>
  <c r="AG115" i="5"/>
  <c r="AG112" i="5"/>
  <c r="AE52" i="5"/>
  <c r="AZ107" i="5"/>
  <c r="AE75" i="5"/>
  <c r="AE84" i="5"/>
  <c r="K60" i="5"/>
  <c r="L105" i="5"/>
  <c r="K105" i="5"/>
  <c r="J105" i="5"/>
  <c r="AF71" i="5"/>
  <c r="AG71" i="5"/>
  <c r="AE71" i="5"/>
  <c r="AF62" i="5"/>
  <c r="AZ118" i="5"/>
  <c r="BA118" i="5"/>
  <c r="BB118" i="5"/>
  <c r="AE81" i="5"/>
  <c r="AG81" i="5"/>
  <c r="J52" i="5"/>
  <c r="L52" i="5"/>
  <c r="K52" i="5"/>
  <c r="L33" i="5"/>
  <c r="K33" i="5"/>
  <c r="J33" i="5"/>
  <c r="AE97" i="5"/>
  <c r="AG97" i="5"/>
  <c r="L107" i="5"/>
  <c r="J107" i="5"/>
  <c r="K107" i="5"/>
  <c r="AG59" i="5"/>
  <c r="AZ115" i="5"/>
  <c r="AZ116" i="5"/>
  <c r="AF36" i="5"/>
  <c r="BB36" i="5"/>
  <c r="BB100" i="5"/>
  <c r="AF52" i="5"/>
  <c r="AF116" i="5"/>
  <c r="AG52" i="5"/>
  <c r="AF81" i="5"/>
  <c r="BB76" i="5"/>
  <c r="BB99" i="5"/>
  <c r="BB26" i="5"/>
  <c r="BB90" i="5"/>
  <c r="BB122" i="5"/>
  <c r="BB81" i="5"/>
  <c r="BB48" i="5"/>
  <c r="BB80" i="5"/>
  <c r="L50" i="5"/>
  <c r="K50" i="5"/>
  <c r="J50" i="5"/>
  <c r="AE82" i="5"/>
  <c r="K94" i="5"/>
  <c r="K55" i="5"/>
  <c r="J55" i="5"/>
  <c r="L55" i="5"/>
  <c r="K26" i="5"/>
  <c r="J106" i="5"/>
  <c r="L121" i="5"/>
  <c r="K121" i="5"/>
  <c r="J121" i="5"/>
  <c r="K44" i="5"/>
  <c r="J108" i="5"/>
  <c r="L108" i="5"/>
  <c r="K108" i="5"/>
  <c r="L57" i="5"/>
  <c r="K57" i="5"/>
  <c r="J57" i="5"/>
  <c r="AE35" i="5"/>
  <c r="K46" i="5"/>
  <c r="J46" i="5"/>
  <c r="L46" i="5"/>
  <c r="J53" i="5"/>
  <c r="L53" i="5"/>
  <c r="K53" i="5"/>
  <c r="AE90" i="5"/>
  <c r="L67" i="5"/>
  <c r="K67" i="5"/>
  <c r="J67" i="5"/>
  <c r="AE120" i="5"/>
  <c r="AE99" i="5"/>
  <c r="AE56" i="5"/>
  <c r="AG35" i="5"/>
  <c r="AF118" i="5"/>
  <c r="AF54" i="5"/>
  <c r="AE66" i="5"/>
  <c r="AF111" i="5"/>
  <c r="AG111" i="5"/>
  <c r="AE111" i="5"/>
  <c r="AF47" i="5"/>
  <c r="AG47" i="5"/>
  <c r="AE47" i="5"/>
  <c r="AE89" i="5"/>
  <c r="AG89" i="5"/>
  <c r="AE70" i="5"/>
  <c r="AE25" i="5"/>
  <c r="AH25" i="5" s="1"/>
  <c r="AJ25" i="5" s="1"/>
  <c r="AG25" i="5"/>
  <c r="AK25" i="5" s="1"/>
  <c r="AG110" i="5"/>
  <c r="AF87" i="5"/>
  <c r="AG87" i="5"/>
  <c r="AE87" i="5"/>
  <c r="AG46" i="5"/>
  <c r="BA56" i="5"/>
  <c r="AZ104" i="5"/>
  <c r="BB61" i="5"/>
  <c r="AZ61" i="5"/>
  <c r="BA61" i="5"/>
  <c r="AZ40" i="5"/>
  <c r="BD40" i="5" s="1"/>
  <c r="BA100" i="5"/>
  <c r="AZ82" i="5"/>
  <c r="BD82" i="5" s="1"/>
  <c r="AZ119" i="5"/>
  <c r="BB119" i="5"/>
  <c r="AZ55" i="5"/>
  <c r="BB55" i="5"/>
  <c r="BB93" i="5"/>
  <c r="BA93" i="5"/>
  <c r="AZ93" i="5"/>
  <c r="AZ72" i="5"/>
  <c r="BB29" i="5"/>
  <c r="BA29" i="5"/>
  <c r="AZ29" i="5"/>
  <c r="AZ123" i="5"/>
  <c r="BB59" i="5"/>
  <c r="L42" i="5"/>
  <c r="L98" i="5"/>
  <c r="K98" i="5"/>
  <c r="J98" i="5"/>
  <c r="L41" i="5"/>
  <c r="K41" i="5"/>
  <c r="J41" i="5"/>
  <c r="AG29" i="5"/>
  <c r="AE29" i="5"/>
  <c r="AE42" i="5"/>
  <c r="AZ31" i="5"/>
  <c r="BB31" i="5"/>
  <c r="AG26" i="5"/>
  <c r="AG58" i="5"/>
  <c r="BA59" i="5"/>
  <c r="BA31" i="5"/>
  <c r="K47" i="5"/>
  <c r="J47" i="5"/>
  <c r="L47" i="5"/>
  <c r="AE60" i="5"/>
  <c r="AF123" i="5"/>
  <c r="BB69" i="5"/>
  <c r="AZ69" i="5"/>
  <c r="BA69" i="5"/>
  <c r="L32" i="5"/>
  <c r="K32" i="5"/>
  <c r="J32" i="5"/>
  <c r="AF26" i="5"/>
  <c r="AF60" i="5"/>
  <c r="AF59" i="5"/>
  <c r="AG92" i="5"/>
  <c r="AF50" i="5"/>
  <c r="AG50" i="5"/>
  <c r="AG82" i="5"/>
  <c r="BA51" i="5"/>
  <c r="BA115" i="5"/>
  <c r="BC115" i="5" s="1"/>
  <c r="BE115" i="5" s="1"/>
  <c r="BA66" i="5"/>
  <c r="L66" i="5"/>
  <c r="K66" i="5"/>
  <c r="J66" i="5"/>
  <c r="J36" i="5"/>
  <c r="L36" i="5"/>
  <c r="K36" i="5"/>
  <c r="AE94" i="5"/>
  <c r="AE105" i="5"/>
  <c r="AG105" i="5"/>
  <c r="J85" i="5"/>
  <c r="J69" i="5"/>
  <c r="L69" i="5"/>
  <c r="K69" i="5"/>
  <c r="L40" i="5"/>
  <c r="K40" i="5"/>
  <c r="J40" i="5"/>
  <c r="L26" i="5"/>
  <c r="J116" i="5"/>
  <c r="L116" i="5"/>
  <c r="K116" i="5"/>
  <c r="L49" i="5"/>
  <c r="K49" i="5"/>
  <c r="J49" i="5"/>
  <c r="K38" i="5"/>
  <c r="J38" i="5"/>
  <c r="L38" i="5"/>
  <c r="J45" i="5"/>
  <c r="K45" i="5"/>
  <c r="L45" i="5"/>
  <c r="AG56" i="5"/>
  <c r="AF56" i="5"/>
  <c r="L59" i="5"/>
  <c r="J59" i="5"/>
  <c r="K59" i="5"/>
  <c r="AG118" i="5"/>
  <c r="AF95" i="5"/>
  <c r="AE95" i="5"/>
  <c r="AG95" i="5"/>
  <c r="AG54" i="5"/>
  <c r="AF31" i="5"/>
  <c r="AE31" i="5"/>
  <c r="AG31" i="5"/>
  <c r="AE96" i="5"/>
  <c r="AE32" i="5"/>
  <c r="AF64" i="5"/>
  <c r="AG109" i="5"/>
  <c r="AK109" i="5" s="1"/>
  <c r="AE109" i="5"/>
  <c r="AG45" i="5"/>
  <c r="AE45" i="5"/>
  <c r="AE68" i="5"/>
  <c r="AG85" i="5"/>
  <c r="AE85" i="5"/>
  <c r="AZ78" i="5"/>
  <c r="BA78" i="5"/>
  <c r="BB78" i="5"/>
  <c r="AZ94" i="5"/>
  <c r="BA94" i="5"/>
  <c r="BB94" i="5"/>
  <c r="BA80" i="5"/>
  <c r="AZ97" i="5"/>
  <c r="BD97" i="5" s="1"/>
  <c r="AZ75" i="5"/>
  <c r="AZ33" i="5"/>
  <c r="BB112" i="5"/>
  <c r="BD112" i="5" s="1"/>
  <c r="BA48" i="5"/>
  <c r="BC48" i="5" s="1"/>
  <c r="BE48" i="5" s="1"/>
  <c r="AZ103" i="5"/>
  <c r="BB103" i="5"/>
  <c r="AZ39" i="5"/>
  <c r="BB39" i="5"/>
  <c r="BF39" i="5" s="1"/>
  <c r="AZ120" i="5"/>
  <c r="BB77" i="5"/>
  <c r="AZ77" i="5"/>
  <c r="BA77" i="5"/>
  <c r="AZ56" i="5"/>
  <c r="J109" i="5"/>
  <c r="L109" i="5"/>
  <c r="K109" i="5"/>
  <c r="L85" i="5"/>
  <c r="J68" i="5"/>
  <c r="L68" i="5"/>
  <c r="K68" i="5"/>
  <c r="J58" i="5"/>
  <c r="BA54" i="5"/>
  <c r="BC54" i="5" s="1"/>
  <c r="BE54" i="5" s="1"/>
  <c r="BB54" i="5"/>
  <c r="J117" i="5"/>
  <c r="L117" i="5"/>
  <c r="K117" i="5"/>
  <c r="K79" i="5"/>
  <c r="J79" i="5"/>
  <c r="L79" i="5"/>
  <c r="J92" i="5"/>
  <c r="L92" i="5"/>
  <c r="K92" i="5"/>
  <c r="K58" i="5"/>
  <c r="L115" i="5"/>
  <c r="AE40" i="5"/>
  <c r="AE123" i="5"/>
  <c r="AZ34" i="5"/>
  <c r="BA70" i="5"/>
  <c r="BB70" i="5"/>
  <c r="AZ52" i="5"/>
  <c r="AF97" i="5"/>
  <c r="BB60" i="5"/>
  <c r="BB32" i="5"/>
  <c r="J100" i="5"/>
  <c r="L100" i="5"/>
  <c r="K100" i="5"/>
  <c r="J101" i="5"/>
  <c r="L101" i="5"/>
  <c r="K101" i="5"/>
  <c r="K74" i="5"/>
  <c r="L90" i="5"/>
  <c r="K90" i="5"/>
  <c r="J90" i="5"/>
  <c r="K102" i="5"/>
  <c r="J102" i="5"/>
  <c r="L102" i="5"/>
  <c r="K103" i="5"/>
  <c r="J103" i="5"/>
  <c r="L103" i="5"/>
  <c r="AF88" i="5"/>
  <c r="K63" i="5"/>
  <c r="J63" i="5"/>
  <c r="L63" i="5"/>
  <c r="L89" i="5"/>
  <c r="K89" i="5"/>
  <c r="J89" i="5"/>
  <c r="L25" i="5"/>
  <c r="K25" i="5"/>
  <c r="J25" i="5"/>
  <c r="AE92" i="5"/>
  <c r="AE33" i="5"/>
  <c r="AG33" i="5"/>
  <c r="AE41" i="5"/>
  <c r="AG41" i="5"/>
  <c r="AE65" i="5"/>
  <c r="AG65" i="5"/>
  <c r="L99" i="5"/>
  <c r="K99" i="5"/>
  <c r="J99" i="5"/>
  <c r="L35" i="5"/>
  <c r="K35" i="5"/>
  <c r="J35" i="5"/>
  <c r="AE88" i="5"/>
  <c r="AG67" i="5"/>
  <c r="AF86" i="5"/>
  <c r="AE34" i="5"/>
  <c r="AH34" i="5" s="1"/>
  <c r="AJ34" i="5" s="1"/>
  <c r="AG102" i="5"/>
  <c r="AF79" i="5"/>
  <c r="AG79" i="5"/>
  <c r="AE79" i="5"/>
  <c r="AG38" i="5"/>
  <c r="AK38" i="5" s="1"/>
  <c r="AE121" i="5"/>
  <c r="AG121" i="5"/>
  <c r="AE102" i="5"/>
  <c r="AE57" i="5"/>
  <c r="AG57" i="5"/>
  <c r="AK57" i="5" s="1"/>
  <c r="AE38" i="5"/>
  <c r="AH38" i="5" s="1"/>
  <c r="AJ38" i="5" s="1"/>
  <c r="AF119" i="5"/>
  <c r="AG119" i="5"/>
  <c r="AE119" i="5"/>
  <c r="AG78" i="5"/>
  <c r="AF55" i="5"/>
  <c r="AE55" i="5"/>
  <c r="AG55" i="5"/>
  <c r="BB67" i="5"/>
  <c r="BB27" i="5"/>
  <c r="BB88" i="5"/>
  <c r="BB117" i="5"/>
  <c r="AZ117" i="5"/>
  <c r="BA117" i="5"/>
  <c r="AZ96" i="5"/>
  <c r="BD96" i="5" s="1"/>
  <c r="BB53" i="5"/>
  <c r="AZ53" i="5"/>
  <c r="BA53" i="5"/>
  <c r="AZ32" i="5"/>
  <c r="AZ114" i="5"/>
  <c r="AZ50" i="5"/>
  <c r="J95" i="5"/>
  <c r="L48" i="5"/>
  <c r="K48" i="5"/>
  <c r="J48" i="5"/>
  <c r="AF69" i="5"/>
  <c r="K78" i="5"/>
  <c r="J78" i="5"/>
  <c r="L78" i="5"/>
  <c r="L80" i="5"/>
  <c r="K80" i="5"/>
  <c r="J80" i="5"/>
  <c r="J37" i="5"/>
  <c r="L37" i="5"/>
  <c r="K37" i="5"/>
  <c r="AE106" i="5"/>
  <c r="BA30" i="5"/>
  <c r="BB30" i="5"/>
  <c r="BB85" i="5"/>
  <c r="AZ85" i="5"/>
  <c r="BA85" i="5"/>
  <c r="AZ86" i="5"/>
  <c r="BB86" i="5"/>
  <c r="BA86" i="5"/>
  <c r="K114" i="5"/>
  <c r="BA96" i="5"/>
  <c r="J29" i="5"/>
  <c r="K29" i="5"/>
  <c r="L29" i="5"/>
  <c r="L43" i="5"/>
  <c r="K43" i="5"/>
  <c r="J43" i="5"/>
  <c r="AG40" i="5"/>
  <c r="AF40" i="5"/>
  <c r="AZ51" i="5"/>
  <c r="AG34" i="5"/>
  <c r="AK34" i="5" s="1"/>
  <c r="AG80" i="5"/>
  <c r="BA60" i="5"/>
  <c r="BA35" i="5"/>
  <c r="BA34" i="5"/>
  <c r="BA81" i="5"/>
  <c r="K110" i="5"/>
  <c r="J110" i="5"/>
  <c r="L110" i="5"/>
  <c r="K119" i="5"/>
  <c r="J119" i="5"/>
  <c r="L119" i="5"/>
  <c r="L74" i="5"/>
  <c r="K111" i="5"/>
  <c r="J111" i="5"/>
  <c r="L111" i="5"/>
  <c r="L112" i="5"/>
  <c r="K112" i="5"/>
  <c r="J112" i="5"/>
  <c r="L113" i="5"/>
  <c r="K113" i="5"/>
  <c r="J113" i="5"/>
  <c r="K28" i="5"/>
  <c r="J24" i="5"/>
  <c r="J76" i="5"/>
  <c r="L76" i="5"/>
  <c r="K76" i="5"/>
  <c r="L81" i="5"/>
  <c r="K81" i="5"/>
  <c r="J81" i="5"/>
  <c r="AF61" i="5"/>
  <c r="K70" i="5"/>
  <c r="J70" i="5"/>
  <c r="L70" i="5"/>
  <c r="AE113" i="5"/>
  <c r="AG113" i="5"/>
  <c r="L91" i="5"/>
  <c r="J91" i="5"/>
  <c r="K91" i="5"/>
  <c r="L27" i="5"/>
  <c r="J27" i="5"/>
  <c r="K27" i="5"/>
  <c r="AE46" i="5"/>
  <c r="AG86" i="5"/>
  <c r="AF63" i="5"/>
  <c r="AE63" i="5"/>
  <c r="AG63" i="5"/>
  <c r="AZ71" i="5"/>
  <c r="BB71" i="5"/>
  <c r="BF71" i="5" s="1"/>
  <c r="AE64" i="5"/>
  <c r="AG43" i="5"/>
  <c r="AE51" i="5"/>
  <c r="AG32" i="5"/>
  <c r="AF32" i="5"/>
  <c r="AG77" i="5"/>
  <c r="AE77" i="5"/>
  <c r="AE100" i="5"/>
  <c r="AI100" i="5" s="1"/>
  <c r="AE36" i="5"/>
  <c r="AG117" i="5"/>
  <c r="AE117" i="5"/>
  <c r="AG53" i="5"/>
  <c r="AE53" i="5"/>
  <c r="AZ122" i="5"/>
  <c r="AZ58" i="5"/>
  <c r="AZ111" i="5"/>
  <c r="BB111" i="5"/>
  <c r="AZ47" i="5"/>
  <c r="BB47" i="5"/>
  <c r="BB109" i="5"/>
  <c r="BA109" i="5"/>
  <c r="AZ109" i="5"/>
  <c r="AZ88" i="5"/>
  <c r="BB45" i="5"/>
  <c r="BA45" i="5"/>
  <c r="AZ45" i="5"/>
  <c r="AZ108" i="5"/>
  <c r="BA62" i="5"/>
  <c r="BB62" i="5"/>
  <c r="AZ44" i="5"/>
  <c r="AZ79" i="5"/>
  <c r="BB79" i="5"/>
  <c r="BA72" i="5"/>
  <c r="L64" i="5"/>
  <c r="K64" i="5"/>
  <c r="J64" i="5"/>
  <c r="J72" i="5"/>
  <c r="K30" i="5"/>
  <c r="J30" i="5"/>
  <c r="L30" i="5"/>
  <c r="AG93" i="5"/>
  <c r="AE93" i="5"/>
  <c r="L82" i="5"/>
  <c r="K82" i="5"/>
  <c r="J82" i="5"/>
  <c r="AE73" i="5"/>
  <c r="AG73" i="5"/>
  <c r="AE59" i="5"/>
  <c r="BB101" i="5"/>
  <c r="AZ101" i="5"/>
  <c r="BA101" i="5"/>
  <c r="AZ76" i="5"/>
  <c r="AZ30" i="5"/>
  <c r="BA68" i="5"/>
  <c r="K118" i="5"/>
  <c r="J118" i="5"/>
  <c r="L118" i="5"/>
  <c r="L94" i="5"/>
  <c r="L120" i="5"/>
  <c r="K120" i="5"/>
  <c r="J120" i="5"/>
  <c r="L28" i="5"/>
  <c r="L56" i="5"/>
  <c r="K56" i="5"/>
  <c r="J56" i="5"/>
  <c r="K24" i="5"/>
  <c r="K86" i="5"/>
  <c r="J86" i="5"/>
  <c r="L86" i="5"/>
  <c r="L73" i="5"/>
  <c r="K73" i="5"/>
  <c r="J73" i="5"/>
  <c r="AE116" i="5"/>
  <c r="AF80" i="5"/>
  <c r="K62" i="5"/>
  <c r="J62" i="5"/>
  <c r="L62" i="5"/>
  <c r="BB37" i="5"/>
  <c r="AZ37" i="5"/>
  <c r="BA37" i="5"/>
  <c r="AG48" i="5"/>
  <c r="AF48" i="5"/>
  <c r="L83" i="5"/>
  <c r="J83" i="5"/>
  <c r="K83" i="5"/>
  <c r="AF29" i="5"/>
  <c r="AG61" i="5"/>
  <c r="AE61" i="5"/>
  <c r="AF103" i="5"/>
  <c r="AG103" i="5"/>
  <c r="AE103" i="5"/>
  <c r="AG62" i="5"/>
  <c r="AF39" i="5"/>
  <c r="AG39" i="5"/>
  <c r="AE39" i="5"/>
  <c r="AE49" i="5"/>
  <c r="AG49" i="5"/>
  <c r="AE30" i="5"/>
  <c r="AI30" i="5" s="1"/>
  <c r="AF94" i="5"/>
  <c r="AF30" i="5"/>
  <c r="AF117" i="5"/>
  <c r="AE74" i="5"/>
  <c r="AF53" i="5"/>
  <c r="AF70" i="5"/>
  <c r="AZ74" i="5"/>
  <c r="BD74" i="5" s="1"/>
  <c r="AZ87" i="5"/>
  <c r="BB87" i="5"/>
  <c r="BF87" i="5" s="1"/>
  <c r="AZ49" i="5"/>
  <c r="AZ89" i="5"/>
  <c r="BD89" i="5" s="1"/>
  <c r="AZ67" i="5"/>
  <c r="AZ25" i="5"/>
  <c r="BA64" i="5"/>
  <c r="BA124" i="5"/>
  <c r="BC124" i="5" s="1"/>
  <c r="BE124" i="5" s="1"/>
  <c r="AZ106" i="5"/>
  <c r="AZ42" i="5"/>
  <c r="AZ121" i="5"/>
  <c r="AZ99" i="5"/>
  <c r="BD99" i="5" s="1"/>
  <c r="AZ57" i="5"/>
  <c r="AZ35" i="5"/>
  <c r="AZ110" i="5"/>
  <c r="BA110" i="5"/>
  <c r="BB110" i="5"/>
  <c r="AZ92" i="5"/>
  <c r="AZ70" i="5"/>
  <c r="BA46" i="5"/>
  <c r="BB46" i="5"/>
  <c r="AZ28" i="5"/>
  <c r="AZ63" i="5"/>
  <c r="BB63" i="5"/>
  <c r="J42" i="5"/>
  <c r="AF99" i="5"/>
  <c r="J77" i="5"/>
  <c r="K77" i="5"/>
  <c r="L77" i="5"/>
  <c r="K72" i="5"/>
  <c r="AF77" i="5"/>
  <c r="K71" i="5"/>
  <c r="J71" i="5"/>
  <c r="L71" i="5"/>
  <c r="K31" i="5"/>
  <c r="J31" i="5"/>
  <c r="L31" i="5"/>
  <c r="L51" i="5"/>
  <c r="K51" i="5"/>
  <c r="J51" i="5"/>
  <c r="AF85" i="5"/>
  <c r="AZ95" i="5"/>
  <c r="BB95" i="5"/>
  <c r="L88" i="5"/>
  <c r="K88" i="5"/>
  <c r="J88" i="5"/>
  <c r="L97" i="5"/>
  <c r="K97" i="5"/>
  <c r="J97" i="5"/>
  <c r="AG69" i="5"/>
  <c r="AE69" i="5"/>
  <c r="AF104" i="5"/>
  <c r="AZ98" i="5"/>
  <c r="AF73" i="5"/>
  <c r="BB68" i="5"/>
  <c r="BB123" i="5"/>
  <c r="AF83" i="5"/>
  <c r="AG42" i="5"/>
  <c r="AG106" i="5"/>
  <c r="BA43" i="5"/>
  <c r="BA98" i="5"/>
  <c r="BB73" i="5"/>
  <c r="BA112" i="5"/>
  <c r="L34" i="5"/>
  <c r="K34" i="5"/>
  <c r="J34" i="5"/>
  <c r="K39" i="5"/>
  <c r="J39" i="5"/>
  <c r="L39" i="5"/>
  <c r="J93" i="5"/>
  <c r="K93" i="5"/>
  <c r="L93" i="5"/>
  <c r="L96" i="5"/>
  <c r="K96" i="5"/>
  <c r="J96" i="5"/>
  <c r="L65" i="5"/>
  <c r="K65" i="5"/>
  <c r="J65" i="5"/>
  <c r="AE110" i="5"/>
  <c r="AF120" i="5"/>
  <c r="K54" i="5"/>
  <c r="J54" i="5"/>
  <c r="L54" i="5"/>
  <c r="J61" i="5"/>
  <c r="K61" i="5"/>
  <c r="L61" i="5"/>
  <c r="AF96" i="5"/>
  <c r="L75" i="5"/>
  <c r="J75" i="5"/>
  <c r="K75" i="5"/>
  <c r="AF78" i="5"/>
  <c r="AF24" i="5"/>
  <c r="AG101" i="5"/>
  <c r="AE101" i="5"/>
  <c r="AG37" i="5"/>
  <c r="AE37" i="5"/>
  <c r="AE28" i="5"/>
  <c r="AI28" i="5" s="1"/>
  <c r="AE115" i="5"/>
  <c r="AE72" i="5"/>
  <c r="AG51" i="5"/>
  <c r="AF91" i="5"/>
  <c r="AG72" i="5"/>
  <c r="AF72" i="5"/>
  <c r="AE27" i="5"/>
  <c r="AE112" i="5"/>
  <c r="AE91" i="5"/>
  <c r="AE48" i="5"/>
  <c r="AG27" i="5"/>
  <c r="AK27" i="5" s="1"/>
  <c r="BB120" i="5"/>
  <c r="BA40" i="5"/>
  <c r="BB43" i="5"/>
  <c r="BA24" i="5"/>
  <c r="AZ24" i="5"/>
  <c r="BB24" i="5"/>
  <c r="AZ102" i="5"/>
  <c r="BB102" i="5"/>
  <c r="BA102" i="5"/>
  <c r="AZ84" i="5"/>
  <c r="AZ62" i="5"/>
  <c r="BB38" i="5"/>
  <c r="BA38" i="5"/>
  <c r="BB75" i="5"/>
  <c r="BA108" i="5"/>
  <c r="AZ90" i="5"/>
  <c r="AZ26" i="5"/>
  <c r="AZ105" i="5"/>
  <c r="AZ83" i="5"/>
  <c r="BD83" i="5" s="1"/>
  <c r="AZ41" i="5"/>
  <c r="AE122" i="5"/>
  <c r="AI122" i="5" s="1"/>
  <c r="K87" i="5"/>
  <c r="J87" i="5"/>
  <c r="L87" i="5"/>
  <c r="K4" i="1"/>
  <c r="B11" i="1"/>
  <c r="E4" i="4"/>
  <c r="AH4" i="3"/>
  <c r="AY8" i="1"/>
  <c r="E4" i="3"/>
  <c r="K4" i="3"/>
  <c r="Q4" i="3"/>
  <c r="V4" i="3"/>
  <c r="AB4" i="3"/>
  <c r="B4" i="1"/>
  <c r="AH57" i="5" l="1"/>
  <c r="AJ57" i="5" s="1"/>
  <c r="BC107" i="5"/>
  <c r="BE107" i="5" s="1"/>
  <c r="BF98" i="5"/>
  <c r="BD98" i="5"/>
  <c r="AK75" i="5"/>
  <c r="BR10" i="5"/>
  <c r="BR23" i="5" s="1"/>
  <c r="BR36" i="5" s="1"/>
  <c r="BQ51" i="5" s="1"/>
  <c r="BR6" i="5"/>
  <c r="BR19" i="5" s="1"/>
  <c r="BR32" i="5" s="1"/>
  <c r="BQ47" i="5" s="1"/>
  <c r="BC38" i="5"/>
  <c r="BE38" i="5" s="1"/>
  <c r="AI60" i="5"/>
  <c r="K3" i="1"/>
  <c r="BD115" i="5"/>
  <c r="AK120" i="5"/>
  <c r="AH99" i="5"/>
  <c r="AJ99" i="5" s="1"/>
  <c r="AI107" i="5"/>
  <c r="BD52" i="5"/>
  <c r="BF52" i="5"/>
  <c r="AK96" i="5"/>
  <c r="BC119" i="5"/>
  <c r="BE119" i="5" s="1"/>
  <c r="BF56" i="5"/>
  <c r="BR12" i="5"/>
  <c r="BR25" i="5" s="1"/>
  <c r="BR38" i="5" s="1"/>
  <c r="BQ53" i="5" s="1"/>
  <c r="AK100" i="5"/>
  <c r="BF95" i="5"/>
  <c r="BD56" i="5"/>
  <c r="BF47" i="5"/>
  <c r="AK113" i="5"/>
  <c r="BF50" i="5"/>
  <c r="AI80" i="5"/>
  <c r="BC36" i="5"/>
  <c r="BE36" i="5" s="1"/>
  <c r="AH80" i="5"/>
  <c r="AJ80" i="5" s="1"/>
  <c r="AK46" i="5"/>
  <c r="AK89" i="5"/>
  <c r="BD35" i="5"/>
  <c r="AH89" i="5"/>
  <c r="AJ89" i="5" s="1"/>
  <c r="BF122" i="5"/>
  <c r="AI76" i="5"/>
  <c r="AI94" i="5"/>
  <c r="P115" i="5"/>
  <c r="AI74" i="5"/>
  <c r="AI115" i="5"/>
  <c r="BD50" i="5"/>
  <c r="AK92" i="5"/>
  <c r="BF26" i="5"/>
  <c r="BF36" i="5"/>
  <c r="AK64" i="5"/>
  <c r="AH62" i="5"/>
  <c r="AJ62" i="5" s="1"/>
  <c r="AH84" i="5"/>
  <c r="AJ84" i="5" s="1"/>
  <c r="BF44" i="5"/>
  <c r="N72" i="5"/>
  <c r="AK87" i="5"/>
  <c r="AI47" i="5"/>
  <c r="AI90" i="5"/>
  <c r="BD113" i="5"/>
  <c r="BD64" i="5"/>
  <c r="BD92" i="5"/>
  <c r="AK105" i="5"/>
  <c r="BC113" i="5"/>
  <c r="BE113" i="5" s="1"/>
  <c r="BC91" i="5"/>
  <c r="BE91" i="5" s="1"/>
  <c r="BF58" i="5"/>
  <c r="AH105" i="5"/>
  <c r="AJ105" i="5" s="1"/>
  <c r="AK58" i="5"/>
  <c r="BF67" i="5"/>
  <c r="M74" i="5"/>
  <c r="O74" i="5" s="1"/>
  <c r="BF119" i="5"/>
  <c r="P95" i="5"/>
  <c r="P104" i="5"/>
  <c r="AH53" i="5"/>
  <c r="AJ53" i="5" s="1"/>
  <c r="M115" i="5"/>
  <c r="O115" i="5" s="1"/>
  <c r="BF107" i="5"/>
  <c r="BC65" i="5"/>
  <c r="BE65" i="5" s="1"/>
  <c r="BD62" i="5"/>
  <c r="N44" i="5"/>
  <c r="AH43" i="5"/>
  <c r="AJ43" i="5" s="1"/>
  <c r="AH107" i="5"/>
  <c r="AJ107" i="5" s="1"/>
  <c r="BF106" i="5"/>
  <c r="AK74" i="5"/>
  <c r="AH44" i="5"/>
  <c r="AJ44" i="5" s="1"/>
  <c r="AH86" i="5"/>
  <c r="AJ86" i="5" s="1"/>
  <c r="N26" i="5"/>
  <c r="AK112" i="5"/>
  <c r="AK60" i="5"/>
  <c r="M26" i="5"/>
  <c r="O26" i="5" s="1"/>
  <c r="AK66" i="5"/>
  <c r="AK44" i="5"/>
  <c r="AI54" i="5"/>
  <c r="BF65" i="5"/>
  <c r="AI91" i="5"/>
  <c r="M60" i="5"/>
  <c r="O60" i="5" s="1"/>
  <c r="AH54" i="5"/>
  <c r="AJ54" i="5" s="1"/>
  <c r="AH75" i="5"/>
  <c r="AJ75" i="5" s="1"/>
  <c r="BR7" i="5"/>
  <c r="BR20" i="5" s="1"/>
  <c r="BR33" i="5" s="1"/>
  <c r="BQ48" i="5" s="1"/>
  <c r="AK121" i="5"/>
  <c r="BD65" i="5"/>
  <c r="AK91" i="5"/>
  <c r="AK101" i="5"/>
  <c r="AH121" i="5"/>
  <c r="AJ121" i="5" s="1"/>
  <c r="AI108" i="5"/>
  <c r="AM108" i="5" s="1"/>
  <c r="BF82" i="5"/>
  <c r="N60" i="5"/>
  <c r="BF41" i="5"/>
  <c r="BD66" i="5"/>
  <c r="AK84" i="5"/>
  <c r="AH51" i="5"/>
  <c r="AJ51" i="5" s="1"/>
  <c r="AI86" i="5"/>
  <c r="BF103" i="5"/>
  <c r="BF25" i="5"/>
  <c r="AH76" i="5"/>
  <c r="AJ76" i="5" s="1"/>
  <c r="AK43" i="5"/>
  <c r="BC103" i="5"/>
  <c r="BE103" i="5" s="1"/>
  <c r="BF104" i="5"/>
  <c r="M84" i="5"/>
  <c r="O84" i="5" s="1"/>
  <c r="BD25" i="5"/>
  <c r="BF32" i="5"/>
  <c r="N84" i="5"/>
  <c r="BD41" i="5"/>
  <c r="BC104" i="5"/>
  <c r="BE104" i="5" s="1"/>
  <c r="BF49" i="5"/>
  <c r="BF114" i="5"/>
  <c r="BD58" i="5"/>
  <c r="BD80" i="5"/>
  <c r="N88" i="5"/>
  <c r="AK37" i="5"/>
  <c r="BC46" i="5"/>
  <c r="BE46" i="5" s="1"/>
  <c r="BF79" i="5"/>
  <c r="AI104" i="5"/>
  <c r="AH37" i="5"/>
  <c r="AJ37" i="5" s="1"/>
  <c r="BF111" i="5"/>
  <c r="AI114" i="5"/>
  <c r="BF120" i="5"/>
  <c r="BC121" i="5"/>
  <c r="BE121" i="5" s="1"/>
  <c r="BC79" i="5"/>
  <c r="BE79" i="5" s="1"/>
  <c r="BF27" i="5"/>
  <c r="BD34" i="5"/>
  <c r="BC80" i="5"/>
  <c r="BE80" i="5" s="1"/>
  <c r="P106" i="5"/>
  <c r="BD84" i="5"/>
  <c r="BF123" i="5"/>
  <c r="BC85" i="5"/>
  <c r="BE85" i="5" s="1"/>
  <c r="AH41" i="5"/>
  <c r="AJ41" i="5" s="1"/>
  <c r="N58" i="5"/>
  <c r="BF121" i="5"/>
  <c r="BF43" i="5"/>
  <c r="BC73" i="5"/>
  <c r="BE73" i="5" s="1"/>
  <c r="AK51" i="5"/>
  <c r="AK24" i="5"/>
  <c r="AH94" i="5"/>
  <c r="AJ94" i="5" s="1"/>
  <c r="N104" i="5"/>
  <c r="BC123" i="5"/>
  <c r="BE123" i="5" s="1"/>
  <c r="AH78" i="5"/>
  <c r="AJ78" i="5" s="1"/>
  <c r="BC25" i="5"/>
  <c r="BE25" i="5" s="1"/>
  <c r="N81" i="5"/>
  <c r="BC61" i="5"/>
  <c r="BE61" i="5" s="1"/>
  <c r="BD27" i="5"/>
  <c r="AI83" i="5"/>
  <c r="BC78" i="5"/>
  <c r="BE78" i="5" s="1"/>
  <c r="AI24" i="5"/>
  <c r="BF116" i="5"/>
  <c r="AH83" i="5"/>
  <c r="AJ83" i="5" s="1"/>
  <c r="AI84" i="5"/>
  <c r="M28" i="5"/>
  <c r="O28" i="5" s="1"/>
  <c r="AH35" i="5"/>
  <c r="AJ35" i="5" s="1"/>
  <c r="M94" i="5"/>
  <c r="O94" i="5" s="1"/>
  <c r="AI92" i="5"/>
  <c r="AK35" i="5"/>
  <c r="AI73" i="5"/>
  <c r="BC88" i="5"/>
  <c r="BE88" i="5" s="1"/>
  <c r="BC34" i="5"/>
  <c r="BE34" i="5" s="1"/>
  <c r="M114" i="5"/>
  <c r="O114" i="5" s="1"/>
  <c r="BC66" i="5"/>
  <c r="BE66" i="5" s="1"/>
  <c r="BD124" i="5"/>
  <c r="BC63" i="5"/>
  <c r="BE63" i="5" s="1"/>
  <c r="BC64" i="5"/>
  <c r="BE64" i="5" s="1"/>
  <c r="BD44" i="5"/>
  <c r="BD122" i="5"/>
  <c r="BD114" i="5"/>
  <c r="BF117" i="5"/>
  <c r="AK54" i="5"/>
  <c r="AH26" i="5"/>
  <c r="AJ26" i="5" s="1"/>
  <c r="AI26" i="5"/>
  <c r="BD116" i="5"/>
  <c r="BF105" i="5"/>
  <c r="AI68" i="5"/>
  <c r="AH67" i="5"/>
  <c r="AJ67" i="5" s="1"/>
  <c r="BF63" i="5"/>
  <c r="BC40" i="5"/>
  <c r="BE40" i="5" s="1"/>
  <c r="AI44" i="5"/>
  <c r="BC43" i="5"/>
  <c r="BE43" i="5" s="1"/>
  <c r="M24" i="5"/>
  <c r="O24" i="5" s="1"/>
  <c r="P94" i="5"/>
  <c r="BD91" i="5"/>
  <c r="BD33" i="5"/>
  <c r="AK90" i="5"/>
  <c r="BF89" i="5"/>
  <c r="AH85" i="5"/>
  <c r="AJ85" i="5" s="1"/>
  <c r="BD42" i="5"/>
  <c r="AK62" i="5"/>
  <c r="BD67" i="5"/>
  <c r="AI116" i="5"/>
  <c r="BD107" i="5"/>
  <c r="AI75" i="5"/>
  <c r="AK41" i="5"/>
  <c r="BD72" i="5"/>
  <c r="AI70" i="5"/>
  <c r="BC27" i="5"/>
  <c r="BE27" i="5" s="1"/>
  <c r="AK99" i="5"/>
  <c r="AI98" i="5"/>
  <c r="BF29" i="5"/>
  <c r="M33" i="5"/>
  <c r="O33" i="5" s="1"/>
  <c r="BD81" i="5"/>
  <c r="M32" i="5"/>
  <c r="O32" i="5" s="1"/>
  <c r="M98" i="5"/>
  <c r="O98" i="5" s="1"/>
  <c r="AK114" i="5"/>
  <c r="BD39" i="5"/>
  <c r="BF93" i="5"/>
  <c r="N120" i="5"/>
  <c r="M79" i="5"/>
  <c r="O79" i="5" s="1"/>
  <c r="BD29" i="5"/>
  <c r="M97" i="5"/>
  <c r="O97" i="5" s="1"/>
  <c r="M31" i="5"/>
  <c r="O31" i="5" s="1"/>
  <c r="BD109" i="5"/>
  <c r="AH42" i="5"/>
  <c r="AJ42" i="5" s="1"/>
  <c r="BD105" i="5"/>
  <c r="N34" i="5"/>
  <c r="AK76" i="5"/>
  <c r="BD121" i="5"/>
  <c r="BD49" i="5"/>
  <c r="BF62" i="5"/>
  <c r="BF86" i="5"/>
  <c r="BD32" i="5"/>
  <c r="BF88" i="5"/>
  <c r="BC94" i="5"/>
  <c r="BE94" i="5" s="1"/>
  <c r="AI29" i="5"/>
  <c r="AI89" i="5"/>
  <c r="M44" i="5"/>
  <c r="O44" i="5" s="1"/>
  <c r="M52" i="5"/>
  <c r="O52" i="5" s="1"/>
  <c r="AH114" i="5"/>
  <c r="AJ114" i="5" s="1"/>
  <c r="BX5" i="5"/>
  <c r="BX18" i="5" s="1"/>
  <c r="BX31" i="5" s="1"/>
  <c r="BW46" i="5" s="1"/>
  <c r="BX11" i="5"/>
  <c r="BX24" i="5" s="1"/>
  <c r="BX37" i="5" s="1"/>
  <c r="BW52" i="5" s="1"/>
  <c r="AH73" i="5"/>
  <c r="AJ73" i="5" s="1"/>
  <c r="M71" i="5"/>
  <c r="O71" i="5" s="1"/>
  <c r="M64" i="5"/>
  <c r="O64" i="5" s="1"/>
  <c r="N24" i="5"/>
  <c r="BC108" i="5"/>
  <c r="BE108" i="5" s="1"/>
  <c r="AK42" i="5"/>
  <c r="AH104" i="5"/>
  <c r="AJ104" i="5" s="1"/>
  <c r="BD87" i="5"/>
  <c r="P83" i="5"/>
  <c r="AK93" i="5"/>
  <c r="P64" i="5"/>
  <c r="BD47" i="5"/>
  <c r="N111" i="5"/>
  <c r="M110" i="5"/>
  <c r="O110" i="5" s="1"/>
  <c r="BD55" i="5"/>
  <c r="BF61" i="5"/>
  <c r="AK110" i="5"/>
  <c r="BU7" i="5"/>
  <c r="BU20" i="5" s="1"/>
  <c r="BU33" i="5" s="1"/>
  <c r="BT48" i="5" s="1"/>
  <c r="BU4" i="5"/>
  <c r="BU17" i="5" s="1"/>
  <c r="BU30" i="5" s="1"/>
  <c r="BT45" i="5" s="1"/>
  <c r="N114" i="5"/>
  <c r="AH98" i="5"/>
  <c r="AJ98" i="5" s="1"/>
  <c r="BF33" i="5"/>
  <c r="AH63" i="5"/>
  <c r="AJ63" i="5" s="1"/>
  <c r="N110" i="5"/>
  <c r="BD100" i="5"/>
  <c r="BF75" i="5"/>
  <c r="BC112" i="5"/>
  <c r="BE112" i="5" s="1"/>
  <c r="P51" i="5"/>
  <c r="AK103" i="5"/>
  <c r="AH100" i="5"/>
  <c r="AJ100" i="5" s="1"/>
  <c r="AM100" i="5" s="1"/>
  <c r="AK102" i="5"/>
  <c r="BC120" i="5"/>
  <c r="BE120" i="5" s="1"/>
  <c r="BC75" i="5"/>
  <c r="BE75" i="5" s="1"/>
  <c r="AI99" i="5"/>
  <c r="BF74" i="5"/>
  <c r="BR11" i="5"/>
  <c r="BR24" i="5" s="1"/>
  <c r="BR37" i="5" s="1"/>
  <c r="BQ52" i="5" s="1"/>
  <c r="BR8" i="5"/>
  <c r="BR21" i="5" s="1"/>
  <c r="BR34" i="5" s="1"/>
  <c r="BQ49" i="5" s="1"/>
  <c r="BR5" i="5"/>
  <c r="BR18" i="5" s="1"/>
  <c r="BR31" i="5" s="1"/>
  <c r="BQ46" i="5" s="1"/>
  <c r="AK32" i="5"/>
  <c r="AK69" i="5"/>
  <c r="BD28" i="5"/>
  <c r="P74" i="5"/>
  <c r="BC81" i="5"/>
  <c r="BE81" i="5" s="1"/>
  <c r="N95" i="5"/>
  <c r="M108" i="5"/>
  <c r="O108" i="5" s="1"/>
  <c r="AK115" i="5"/>
  <c r="BX10" i="5"/>
  <c r="BX23" i="5" s="1"/>
  <c r="BX36" i="5" s="1"/>
  <c r="BW51" i="5" s="1"/>
  <c r="BX4" i="5"/>
  <c r="BX17" i="5" s="1"/>
  <c r="BX30" i="5" s="1"/>
  <c r="BW45" i="5" s="1"/>
  <c r="BF28" i="5"/>
  <c r="BU8" i="5"/>
  <c r="BU21" i="5" s="1"/>
  <c r="BU34" i="5" s="1"/>
  <c r="BT49" i="5" s="1"/>
  <c r="BU5" i="5"/>
  <c r="BU18" i="5" s="1"/>
  <c r="BU31" i="5" s="1"/>
  <c r="BT46" i="5" s="1"/>
  <c r="BU9" i="5"/>
  <c r="BU22" i="5" s="1"/>
  <c r="BU35" i="5" s="1"/>
  <c r="BT50" i="5" s="1"/>
  <c r="BU6" i="5"/>
  <c r="BU19" i="5" s="1"/>
  <c r="BU32" i="5" s="1"/>
  <c r="BT47" i="5" s="1"/>
  <c r="AK118" i="5"/>
  <c r="AK50" i="5"/>
  <c r="N67" i="5"/>
  <c r="P55" i="5"/>
  <c r="BD26" i="5"/>
  <c r="BC102" i="5"/>
  <c r="BE102" i="5" s="1"/>
  <c r="AI110" i="5"/>
  <c r="AI36" i="5"/>
  <c r="N103" i="5"/>
  <c r="M92" i="5"/>
  <c r="O92" i="5" s="1"/>
  <c r="AH52" i="5"/>
  <c r="AJ52" i="5" s="1"/>
  <c r="P77" i="5"/>
  <c r="BD57" i="5"/>
  <c r="AI61" i="5"/>
  <c r="BF85" i="5"/>
  <c r="M48" i="5"/>
  <c r="O48" i="5" s="1"/>
  <c r="BF53" i="5"/>
  <c r="P35" i="5"/>
  <c r="M89" i="5"/>
  <c r="O89" i="5" s="1"/>
  <c r="M103" i="5"/>
  <c r="O103" i="5" s="1"/>
  <c r="BF78" i="5"/>
  <c r="AI109" i="5"/>
  <c r="N76" i="5"/>
  <c r="M112" i="5"/>
  <c r="O112" i="5" s="1"/>
  <c r="M119" i="5"/>
  <c r="O119" i="5" s="1"/>
  <c r="AH55" i="5"/>
  <c r="AJ55" i="5" s="1"/>
  <c r="AI102" i="5"/>
  <c r="N102" i="5"/>
  <c r="N101" i="5"/>
  <c r="P85" i="5"/>
  <c r="AI95" i="5"/>
  <c r="P49" i="5"/>
  <c r="P36" i="5"/>
  <c r="N106" i="5"/>
  <c r="BC44" i="5"/>
  <c r="BE44" i="5" s="1"/>
  <c r="AH39" i="5"/>
  <c r="AJ39" i="5" s="1"/>
  <c r="BF37" i="5"/>
  <c r="BF31" i="5"/>
  <c r="P50" i="5"/>
  <c r="BF76" i="5"/>
  <c r="BF118" i="5"/>
  <c r="AK67" i="5"/>
  <c r="AK65" i="5"/>
  <c r="N25" i="5"/>
  <c r="N90" i="5"/>
  <c r="N66" i="5"/>
  <c r="AH111" i="5"/>
  <c r="AJ111" i="5" s="1"/>
  <c r="AI27" i="5"/>
  <c r="BC89" i="5"/>
  <c r="BE89" i="5" s="1"/>
  <c r="BC68" i="5"/>
  <c r="BE68" i="5" s="1"/>
  <c r="P43" i="5"/>
  <c r="BD86" i="5"/>
  <c r="P37" i="5"/>
  <c r="AK88" i="5"/>
  <c r="M90" i="5"/>
  <c r="O90" i="5" s="1"/>
  <c r="N100" i="5"/>
  <c r="P60" i="5"/>
  <c r="BF94" i="5"/>
  <c r="M59" i="5"/>
  <c r="O59" i="5" s="1"/>
  <c r="BC100" i="5"/>
  <c r="BE100" i="5" s="1"/>
  <c r="AI66" i="5"/>
  <c r="AI52" i="5"/>
  <c r="AH77" i="5"/>
  <c r="AJ77" i="5" s="1"/>
  <c r="AK107" i="5"/>
  <c r="BC90" i="5"/>
  <c r="BE90" i="5" s="1"/>
  <c r="BF102" i="5"/>
  <c r="P97" i="5"/>
  <c r="P31" i="5"/>
  <c r="BD110" i="5"/>
  <c r="AK49" i="5"/>
  <c r="M62" i="5"/>
  <c r="O62" i="5" s="1"/>
  <c r="M86" i="5"/>
  <c r="O86" i="5" s="1"/>
  <c r="M68" i="5"/>
  <c r="O68" i="5" s="1"/>
  <c r="AK31" i="5"/>
  <c r="P38" i="5"/>
  <c r="AH50" i="5"/>
  <c r="AJ50" i="5" s="1"/>
  <c r="M47" i="5"/>
  <c r="O47" i="5" s="1"/>
  <c r="BD31" i="5"/>
  <c r="BD104" i="5"/>
  <c r="N53" i="5"/>
  <c r="P57" i="5"/>
  <c r="BF99" i="5"/>
  <c r="BF64" i="5"/>
  <c r="AH49" i="5"/>
  <c r="AJ49" i="5" s="1"/>
  <c r="BF45" i="5"/>
  <c r="M27" i="5"/>
  <c r="O27" i="5" s="1"/>
  <c r="BF70" i="5"/>
  <c r="AH45" i="5"/>
  <c r="AJ45" i="5" s="1"/>
  <c r="BD36" i="5"/>
  <c r="BF66" i="5"/>
  <c r="BC47" i="5"/>
  <c r="BE47" i="5" s="1"/>
  <c r="BD46" i="5"/>
  <c r="BF46" i="5"/>
  <c r="AK33" i="5"/>
  <c r="BF60" i="5"/>
  <c r="BF112" i="5"/>
  <c r="AK45" i="5"/>
  <c r="BF80" i="5"/>
  <c r="AI118" i="5"/>
  <c r="BF124" i="5"/>
  <c r="BF92" i="5"/>
  <c r="BD71" i="5"/>
  <c r="P70" i="5"/>
  <c r="BF30" i="5"/>
  <c r="P80" i="5"/>
  <c r="BD54" i="5"/>
  <c r="BF54" i="5"/>
  <c r="BF77" i="5"/>
  <c r="BF69" i="5"/>
  <c r="BC59" i="5"/>
  <c r="BE59" i="5" s="1"/>
  <c r="BD48" i="5"/>
  <c r="BF48" i="5"/>
  <c r="BC76" i="5"/>
  <c r="BE76" i="5" s="1"/>
  <c r="BC57" i="5"/>
  <c r="BE57" i="5" s="1"/>
  <c r="BF34" i="5"/>
  <c r="BF57" i="5"/>
  <c r="BD38" i="5"/>
  <c r="BF38" i="5"/>
  <c r="BD73" i="5"/>
  <c r="BF73" i="5"/>
  <c r="P118" i="5"/>
  <c r="AK123" i="5"/>
  <c r="BC93" i="5"/>
  <c r="BE93" i="5" s="1"/>
  <c r="AI87" i="5"/>
  <c r="BF81" i="5"/>
  <c r="P44" i="5"/>
  <c r="BF108" i="5"/>
  <c r="BD60" i="5"/>
  <c r="BF51" i="5"/>
  <c r="M83" i="5"/>
  <c r="O83" i="5" s="1"/>
  <c r="P73" i="5"/>
  <c r="P56" i="5"/>
  <c r="BF101" i="5"/>
  <c r="BF109" i="5"/>
  <c r="N78" i="5"/>
  <c r="AI123" i="5"/>
  <c r="N79" i="5"/>
  <c r="BD59" i="5"/>
  <c r="BF59" i="5"/>
  <c r="BF72" i="5"/>
  <c r="BF113" i="5"/>
  <c r="BF42" i="5"/>
  <c r="BD68" i="5"/>
  <c r="BF68" i="5"/>
  <c r="BF110" i="5"/>
  <c r="BD106" i="5"/>
  <c r="P109" i="5"/>
  <c r="AH95" i="5"/>
  <c r="AJ95" i="5" s="1"/>
  <c r="M116" i="5"/>
  <c r="O116" i="5" s="1"/>
  <c r="P69" i="5"/>
  <c r="N36" i="5"/>
  <c r="AK82" i="5"/>
  <c r="BF55" i="5"/>
  <c r="BF90" i="5"/>
  <c r="BF100" i="5"/>
  <c r="M106" i="5"/>
  <c r="O106" i="5" s="1"/>
  <c r="BF35" i="5"/>
  <c r="BF96" i="5"/>
  <c r="BF115" i="5"/>
  <c r="BF84" i="5"/>
  <c r="BF40" i="5"/>
  <c r="BC24" i="5"/>
  <c r="BE24" i="5" s="1"/>
  <c r="N75" i="5"/>
  <c r="N54" i="5"/>
  <c r="M39" i="5"/>
  <c r="O39" i="5" s="1"/>
  <c r="AK106" i="5"/>
  <c r="M72" i="5"/>
  <c r="O72" i="5" s="1"/>
  <c r="AH70" i="5"/>
  <c r="AJ70" i="5" s="1"/>
  <c r="P120" i="5"/>
  <c r="BD30" i="5"/>
  <c r="N30" i="5"/>
  <c r="BC72" i="5"/>
  <c r="BE72" i="5" s="1"/>
  <c r="BC45" i="5"/>
  <c r="BE45" i="5" s="1"/>
  <c r="AK117" i="5"/>
  <c r="N113" i="5"/>
  <c r="BC71" i="5"/>
  <c r="BE71" i="5" s="1"/>
  <c r="AK98" i="5"/>
  <c r="AK40" i="5"/>
  <c r="P48" i="5"/>
  <c r="AI55" i="5"/>
  <c r="AI57" i="5"/>
  <c r="AM57" i="5" s="1"/>
  <c r="AI33" i="5"/>
  <c r="P89" i="5"/>
  <c r="P101" i="5"/>
  <c r="P92" i="5"/>
  <c r="M117" i="5"/>
  <c r="O117" i="5" s="1"/>
  <c r="N109" i="5"/>
  <c r="N45" i="5"/>
  <c r="P98" i="5"/>
  <c r="N46" i="5"/>
  <c r="AH81" i="5"/>
  <c r="AJ81" i="5" s="1"/>
  <c r="AH71" i="5"/>
  <c r="AJ71" i="5" s="1"/>
  <c r="AH102" i="5"/>
  <c r="AJ102" i="5" s="1"/>
  <c r="P75" i="5"/>
  <c r="BD76" i="5"/>
  <c r="BC39" i="5"/>
  <c r="BE39" i="5" s="1"/>
  <c r="AH106" i="5"/>
  <c r="AJ106" i="5" s="1"/>
  <c r="AH97" i="5"/>
  <c r="AJ97" i="5" s="1"/>
  <c r="P42" i="5"/>
  <c r="AI58" i="5"/>
  <c r="P72" i="5"/>
  <c r="P96" i="5"/>
  <c r="M77" i="5"/>
  <c r="O77" i="5" s="1"/>
  <c r="AK61" i="5"/>
  <c r="BC37" i="5"/>
  <c r="BE37" i="5" s="1"/>
  <c r="N82" i="5"/>
  <c r="BD88" i="5"/>
  <c r="M76" i="5"/>
  <c r="O76" i="5" s="1"/>
  <c r="P113" i="5"/>
  <c r="P119" i="5"/>
  <c r="M43" i="5"/>
  <c r="O43" i="5" s="1"/>
  <c r="M78" i="5"/>
  <c r="O78" i="5" s="1"/>
  <c r="BD117" i="5"/>
  <c r="AK78" i="5"/>
  <c r="P99" i="5"/>
  <c r="N63" i="5"/>
  <c r="M100" i="5"/>
  <c r="O100" i="5" s="1"/>
  <c r="N117" i="5"/>
  <c r="P66" i="5"/>
  <c r="M41" i="5"/>
  <c r="O41" i="5" s="1"/>
  <c r="M55" i="5"/>
  <c r="O55" i="5" s="1"/>
  <c r="AH116" i="5"/>
  <c r="AJ116" i="5" s="1"/>
  <c r="AK59" i="5"/>
  <c r="P33" i="5"/>
  <c r="N105" i="5"/>
  <c r="BD43" i="5"/>
  <c r="AI101" i="5"/>
  <c r="P93" i="5"/>
  <c r="AI69" i="5"/>
  <c r="BD70" i="5"/>
  <c r="AH117" i="5"/>
  <c r="AJ117" i="5" s="1"/>
  <c r="AH29" i="5"/>
  <c r="AJ29" i="5" s="1"/>
  <c r="BD101" i="5"/>
  <c r="BC116" i="5"/>
  <c r="BE116" i="5" s="1"/>
  <c r="AI77" i="5"/>
  <c r="AI119" i="5"/>
  <c r="BD77" i="5"/>
  <c r="AH31" i="5"/>
  <c r="AJ31" i="5" s="1"/>
  <c r="M38" i="5"/>
  <c r="O38" i="5" s="1"/>
  <c r="N47" i="5"/>
  <c r="P41" i="5"/>
  <c r="AH118" i="5"/>
  <c r="AJ118" i="5" s="1"/>
  <c r="M107" i="5"/>
  <c r="O107" i="5" s="1"/>
  <c r="M105" i="5"/>
  <c r="O105" i="5" s="1"/>
  <c r="BC122" i="5"/>
  <c r="BE122" i="5" s="1"/>
  <c r="P87" i="5"/>
  <c r="AH91" i="5"/>
  <c r="AJ91" i="5" s="1"/>
  <c r="N87" i="5"/>
  <c r="BD102" i="5"/>
  <c r="M61" i="5"/>
  <c r="O61" i="5" s="1"/>
  <c r="N65" i="5"/>
  <c r="P34" i="5"/>
  <c r="M51" i="5"/>
  <c r="O51" i="5" s="1"/>
  <c r="P62" i="5"/>
  <c r="P86" i="5"/>
  <c r="AI63" i="5"/>
  <c r="M70" i="5"/>
  <c r="O70" i="5" s="1"/>
  <c r="P112" i="5"/>
  <c r="BC35" i="5"/>
  <c r="BE35" i="5" s="1"/>
  <c r="BD51" i="5"/>
  <c r="M29" i="5"/>
  <c r="O29" i="5" s="1"/>
  <c r="BD85" i="5"/>
  <c r="N80" i="5"/>
  <c r="BC53" i="5"/>
  <c r="BE53" i="5" s="1"/>
  <c r="AI79" i="5"/>
  <c r="N35" i="5"/>
  <c r="P25" i="5"/>
  <c r="M49" i="5"/>
  <c r="O49" i="5" s="1"/>
  <c r="P40" i="5"/>
  <c r="AH60" i="5"/>
  <c r="AJ60" i="5" s="1"/>
  <c r="M57" i="5"/>
  <c r="O57" i="5" s="1"/>
  <c r="P121" i="5"/>
  <c r="N50" i="5"/>
  <c r="N52" i="5"/>
  <c r="BC110" i="5"/>
  <c r="BE110" i="5" s="1"/>
  <c r="AI103" i="5"/>
  <c r="BD108" i="5"/>
  <c r="P91" i="5"/>
  <c r="BC60" i="5"/>
  <c r="BE60" i="5" s="1"/>
  <c r="N29" i="5"/>
  <c r="M58" i="5"/>
  <c r="O58" i="5" s="1"/>
  <c r="BC82" i="5"/>
  <c r="BE82" i="5" s="1"/>
  <c r="AI71" i="5"/>
  <c r="N118" i="5"/>
  <c r="BD111" i="5"/>
  <c r="N37" i="5"/>
  <c r="P68" i="5"/>
  <c r="AH112" i="5"/>
  <c r="AJ112" i="5" s="1"/>
  <c r="AI112" i="5"/>
  <c r="N96" i="5"/>
  <c r="N51" i="5"/>
  <c r="AH30" i="5"/>
  <c r="AJ30" i="5" s="1"/>
  <c r="N73" i="5"/>
  <c r="N56" i="5"/>
  <c r="AK73" i="5"/>
  <c r="AK53" i="5"/>
  <c r="P110" i="5"/>
  <c r="AK94" i="5"/>
  <c r="P78" i="5"/>
  <c r="N99" i="5"/>
  <c r="M101" i="5"/>
  <c r="O101" i="5" s="1"/>
  <c r="M109" i="5"/>
  <c r="O109" i="5" s="1"/>
  <c r="AI85" i="5"/>
  <c r="P45" i="5"/>
  <c r="M36" i="5"/>
  <c r="O36" i="5" s="1"/>
  <c r="BC33" i="5"/>
  <c r="BE33" i="5" s="1"/>
  <c r="BD69" i="5"/>
  <c r="N41" i="5"/>
  <c r="BC56" i="5"/>
  <c r="BE56" i="5" s="1"/>
  <c r="AK111" i="5"/>
  <c r="AH122" i="5"/>
  <c r="AJ122" i="5" s="1"/>
  <c r="AM122" i="5" s="1"/>
  <c r="N33" i="5"/>
  <c r="BC41" i="5"/>
  <c r="BE41" i="5" s="1"/>
  <c r="P58" i="5"/>
  <c r="N115" i="5"/>
  <c r="BC32" i="5"/>
  <c r="BE32" i="5" s="1"/>
  <c r="BD63" i="5"/>
  <c r="M30" i="5"/>
  <c r="O30" i="5" s="1"/>
  <c r="AH64" i="5"/>
  <c r="AJ64" i="5" s="1"/>
  <c r="AI64" i="5"/>
  <c r="M111" i="5"/>
  <c r="O111" i="5" s="1"/>
  <c r="AI37" i="5"/>
  <c r="M54" i="5"/>
  <c r="O54" i="5" s="1"/>
  <c r="M96" i="5"/>
  <c r="O96" i="5" s="1"/>
  <c r="N42" i="5"/>
  <c r="N83" i="5"/>
  <c r="BD37" i="5"/>
  <c r="M73" i="5"/>
  <c r="O73" i="5" s="1"/>
  <c r="M56" i="5"/>
  <c r="O56" i="5" s="1"/>
  <c r="BC101" i="5"/>
  <c r="BE101" i="5" s="1"/>
  <c r="P30" i="5"/>
  <c r="BD45" i="5"/>
  <c r="AI117" i="5"/>
  <c r="AI51" i="5"/>
  <c r="AK86" i="5"/>
  <c r="AH61" i="5"/>
  <c r="AJ61" i="5" s="1"/>
  <c r="P111" i="5"/>
  <c r="BC67" i="5"/>
  <c r="BE67" i="5" s="1"/>
  <c r="P29" i="5"/>
  <c r="M37" i="5"/>
  <c r="O37" i="5" s="1"/>
  <c r="BC117" i="5"/>
  <c r="BE117" i="5" s="1"/>
  <c r="AI34" i="5"/>
  <c r="M99" i="5"/>
  <c r="O99" i="5" s="1"/>
  <c r="P63" i="5"/>
  <c r="P102" i="5"/>
  <c r="AH24" i="5"/>
  <c r="AJ24" i="5" s="1"/>
  <c r="AH40" i="5"/>
  <c r="AJ40" i="5" s="1"/>
  <c r="AI40" i="5"/>
  <c r="AK85" i="5"/>
  <c r="AH32" i="5"/>
  <c r="AJ32" i="5" s="1"/>
  <c r="AI32" i="5"/>
  <c r="M45" i="5"/>
  <c r="O45" i="5" s="1"/>
  <c r="M69" i="5"/>
  <c r="O69" i="5" s="1"/>
  <c r="BC106" i="5"/>
  <c r="BE106" i="5" s="1"/>
  <c r="BC42" i="5"/>
  <c r="BE42" i="5" s="1"/>
  <c r="BD93" i="5"/>
  <c r="AH120" i="5"/>
  <c r="AJ120" i="5" s="1"/>
  <c r="AI120" i="5"/>
  <c r="P46" i="5"/>
  <c r="AK52" i="5"/>
  <c r="AK71" i="5"/>
  <c r="BC74" i="5"/>
  <c r="BE74" i="5" s="1"/>
  <c r="N74" i="5"/>
  <c r="BC52" i="5"/>
  <c r="BE52" i="5" s="1"/>
  <c r="BC55" i="5"/>
  <c r="BE55" i="5" s="1"/>
  <c r="P114" i="5"/>
  <c r="P28" i="5"/>
  <c r="AI113" i="5"/>
  <c r="P116" i="5"/>
  <c r="M67" i="5"/>
  <c r="O67" i="5" s="1"/>
  <c r="AK116" i="5"/>
  <c r="BD90" i="5"/>
  <c r="P61" i="5"/>
  <c r="M93" i="5"/>
  <c r="O93" i="5" s="1"/>
  <c r="M34" i="5"/>
  <c r="O34" i="5" s="1"/>
  <c r="P88" i="5"/>
  <c r="BD95" i="5"/>
  <c r="N31" i="5"/>
  <c r="AI49" i="5"/>
  <c r="AH103" i="5"/>
  <c r="AJ103" i="5" s="1"/>
  <c r="N62" i="5"/>
  <c r="N86" i="5"/>
  <c r="AH115" i="5"/>
  <c r="AJ115" i="5" s="1"/>
  <c r="M118" i="5"/>
  <c r="O118" i="5" s="1"/>
  <c r="AI59" i="5"/>
  <c r="P82" i="5"/>
  <c r="BD79" i="5"/>
  <c r="N27" i="5"/>
  <c r="P81" i="5"/>
  <c r="M113" i="5"/>
  <c r="O113" i="5" s="1"/>
  <c r="AK80" i="5"/>
  <c r="BC96" i="5"/>
  <c r="BE96" i="5" s="1"/>
  <c r="AI50" i="5"/>
  <c r="AK119" i="5"/>
  <c r="AH88" i="5"/>
  <c r="AJ88" i="5" s="1"/>
  <c r="AI88" i="5"/>
  <c r="AI65" i="5"/>
  <c r="M25" i="5"/>
  <c r="O25" i="5" s="1"/>
  <c r="AI43" i="5"/>
  <c r="P100" i="5"/>
  <c r="AH33" i="5"/>
  <c r="AJ33" i="5" s="1"/>
  <c r="N68" i="5"/>
  <c r="BC77" i="5"/>
  <c r="BE77" i="5" s="1"/>
  <c r="BD94" i="5"/>
  <c r="AI45" i="5"/>
  <c r="AI31" i="5"/>
  <c r="N59" i="5"/>
  <c r="N38" i="5"/>
  <c r="N116" i="5"/>
  <c r="N85" i="5"/>
  <c r="M66" i="5"/>
  <c r="O66" i="5" s="1"/>
  <c r="BC83" i="5"/>
  <c r="BE83" i="5" s="1"/>
  <c r="BG83" i="5" s="1"/>
  <c r="N32" i="5"/>
  <c r="BC105" i="5"/>
  <c r="BE105" i="5" s="1"/>
  <c r="AI42" i="5"/>
  <c r="BC95" i="5"/>
  <c r="BE95" i="5" s="1"/>
  <c r="BD123" i="5"/>
  <c r="BD61" i="5"/>
  <c r="AH87" i="5"/>
  <c r="AJ87" i="5" s="1"/>
  <c r="AK47" i="5"/>
  <c r="P67" i="5"/>
  <c r="AI67" i="5"/>
  <c r="N108" i="5"/>
  <c r="N55" i="5"/>
  <c r="M50" i="5"/>
  <c r="O50" i="5" s="1"/>
  <c r="N107" i="5"/>
  <c r="P52" i="5"/>
  <c r="BC118" i="5"/>
  <c r="BE118" i="5" s="1"/>
  <c r="AH92" i="5"/>
  <c r="AJ92" i="5" s="1"/>
  <c r="M95" i="5"/>
  <c r="O95" i="5" s="1"/>
  <c r="BC99" i="5"/>
  <c r="BE99" i="5" s="1"/>
  <c r="P24" i="5"/>
  <c r="M85" i="5"/>
  <c r="O85" i="5" s="1"/>
  <c r="N94" i="5"/>
  <c r="M82" i="5"/>
  <c r="O82" i="5" s="1"/>
  <c r="M63" i="5"/>
  <c r="O63" i="5" s="1"/>
  <c r="P108" i="5"/>
  <c r="N93" i="5"/>
  <c r="P27" i="5"/>
  <c r="AH66" i="5"/>
  <c r="AJ66" i="5" s="1"/>
  <c r="AH69" i="5"/>
  <c r="AJ69" i="5" s="1"/>
  <c r="AH119" i="5"/>
  <c r="AJ119" i="5" s="1"/>
  <c r="AH74" i="5"/>
  <c r="AJ74" i="5" s="1"/>
  <c r="BC70" i="5"/>
  <c r="BE70" i="5" s="1"/>
  <c r="AK30" i="5"/>
  <c r="P59" i="5"/>
  <c r="P26" i="5"/>
  <c r="BC51" i="5"/>
  <c r="BE51" i="5" s="1"/>
  <c r="AH123" i="5"/>
  <c r="AJ123" i="5" s="1"/>
  <c r="AH47" i="5"/>
  <c r="AJ47" i="5" s="1"/>
  <c r="BC58" i="5"/>
  <c r="BE58" i="5" s="1"/>
  <c r="P107" i="5"/>
  <c r="BD118" i="5"/>
  <c r="AK83" i="5"/>
  <c r="AH28" i="5"/>
  <c r="AJ28" i="5" s="1"/>
  <c r="AM28" i="5" s="1"/>
  <c r="AK104" i="5"/>
  <c r="M81" i="5"/>
  <c r="O81" i="5" s="1"/>
  <c r="AI121" i="5"/>
  <c r="M102" i="5"/>
  <c r="O102" i="5" s="1"/>
  <c r="BD103" i="5"/>
  <c r="N69" i="5"/>
  <c r="M87" i="5"/>
  <c r="O87" i="5" s="1"/>
  <c r="BF24" i="5"/>
  <c r="AH48" i="5"/>
  <c r="AJ48" i="5" s="1"/>
  <c r="AI48" i="5"/>
  <c r="AH72" i="5"/>
  <c r="AJ72" i="5" s="1"/>
  <c r="AI72" i="5"/>
  <c r="N61" i="5"/>
  <c r="M65" i="5"/>
  <c r="O65" i="5" s="1"/>
  <c r="P39" i="5"/>
  <c r="BC98" i="5"/>
  <c r="BE98" i="5" s="1"/>
  <c r="BH98" i="5" s="1"/>
  <c r="BC114" i="5"/>
  <c r="BE114" i="5" s="1"/>
  <c r="P71" i="5"/>
  <c r="AI39" i="5"/>
  <c r="AK48" i="5"/>
  <c r="M120" i="5"/>
  <c r="O120" i="5" s="1"/>
  <c r="AI62" i="5"/>
  <c r="BC109" i="5"/>
  <c r="BE109" i="5" s="1"/>
  <c r="AK77" i="5"/>
  <c r="AK63" i="5"/>
  <c r="M91" i="5"/>
  <c r="O91" i="5" s="1"/>
  <c r="N70" i="5"/>
  <c r="P76" i="5"/>
  <c r="N112" i="5"/>
  <c r="N119" i="5"/>
  <c r="N43" i="5"/>
  <c r="BC30" i="5"/>
  <c r="BE30" i="5" s="1"/>
  <c r="M80" i="5"/>
  <c r="O80" i="5" s="1"/>
  <c r="N48" i="5"/>
  <c r="BD53" i="5"/>
  <c r="AI38" i="5"/>
  <c r="AK79" i="5"/>
  <c r="M35" i="5"/>
  <c r="O35" i="5" s="1"/>
  <c r="AI41" i="5"/>
  <c r="N89" i="5"/>
  <c r="P103" i="5"/>
  <c r="P90" i="5"/>
  <c r="N92" i="5"/>
  <c r="P117" i="5"/>
  <c r="AH101" i="5"/>
  <c r="AJ101" i="5" s="1"/>
  <c r="AH109" i="5"/>
  <c r="AJ109" i="5" s="1"/>
  <c r="N40" i="5"/>
  <c r="AI105" i="5"/>
  <c r="BC87" i="5"/>
  <c r="BE87" i="5" s="1"/>
  <c r="BC92" i="5"/>
  <c r="BE92" i="5" s="1"/>
  <c r="AH59" i="5"/>
  <c r="AJ59" i="5" s="1"/>
  <c r="P32" i="5"/>
  <c r="AH68" i="5"/>
  <c r="AJ68" i="5" s="1"/>
  <c r="BC29" i="5"/>
  <c r="BE29" i="5" s="1"/>
  <c r="AK70" i="5"/>
  <c r="M53" i="5"/>
  <c r="O53" i="5" s="1"/>
  <c r="AI35" i="5"/>
  <c r="N121" i="5"/>
  <c r="AH36" i="5"/>
  <c r="AJ36" i="5" s="1"/>
  <c r="AK97" i="5"/>
  <c r="AK81" i="5"/>
  <c r="P105" i="5"/>
  <c r="AH65" i="5"/>
  <c r="AJ65" i="5" s="1"/>
  <c r="BC84" i="5"/>
  <c r="BE84" i="5" s="1"/>
  <c r="AK36" i="5"/>
  <c r="N28" i="5"/>
  <c r="AH110" i="5"/>
  <c r="AJ110" i="5" s="1"/>
  <c r="AI46" i="5"/>
  <c r="AH46" i="5"/>
  <c r="AJ46" i="5" s="1"/>
  <c r="AH96" i="5"/>
  <c r="AJ96" i="5" s="1"/>
  <c r="AI96" i="5"/>
  <c r="AK72" i="5"/>
  <c r="M88" i="5"/>
  <c r="O88" i="5" s="1"/>
  <c r="AI78" i="5"/>
  <c r="BC31" i="5"/>
  <c r="BE31" i="5" s="1"/>
  <c r="M46" i="5"/>
  <c r="O46" i="5" s="1"/>
  <c r="AH113" i="5"/>
  <c r="AJ113" i="5" s="1"/>
  <c r="BD24" i="5"/>
  <c r="M75" i="5"/>
  <c r="O75" i="5" s="1"/>
  <c r="P54" i="5"/>
  <c r="P65" i="5"/>
  <c r="N39" i="5"/>
  <c r="BC50" i="5"/>
  <c r="BE50" i="5" s="1"/>
  <c r="N97" i="5"/>
  <c r="N71" i="5"/>
  <c r="N77" i="5"/>
  <c r="AK39" i="5"/>
  <c r="AI93" i="5"/>
  <c r="N64" i="5"/>
  <c r="BC62" i="5"/>
  <c r="BE62" i="5" s="1"/>
  <c r="AI53" i="5"/>
  <c r="N91" i="5"/>
  <c r="BC49" i="5"/>
  <c r="BE49" i="5" s="1"/>
  <c r="BC86" i="5"/>
  <c r="BE86" i="5" s="1"/>
  <c r="AI106" i="5"/>
  <c r="AK55" i="5"/>
  <c r="AH79" i="5"/>
  <c r="AJ79" i="5" s="1"/>
  <c r="BC111" i="5"/>
  <c r="BE111" i="5" s="1"/>
  <c r="P79" i="5"/>
  <c r="AH93" i="5"/>
  <c r="AJ93" i="5" s="1"/>
  <c r="BD120" i="5"/>
  <c r="BD75" i="5"/>
  <c r="BD78" i="5"/>
  <c r="AK95" i="5"/>
  <c r="AK56" i="5"/>
  <c r="N49" i="5"/>
  <c r="M40" i="5"/>
  <c r="O40" i="5" s="1"/>
  <c r="BC97" i="5"/>
  <c r="BE97" i="5" s="1"/>
  <c r="BG97" i="5" s="1"/>
  <c r="BC28" i="5"/>
  <c r="BE28" i="5" s="1"/>
  <c r="AH27" i="5"/>
  <c r="AJ27" i="5" s="1"/>
  <c r="BC69" i="5"/>
  <c r="BE69" i="5" s="1"/>
  <c r="P47" i="5"/>
  <c r="AK26" i="5"/>
  <c r="AK29" i="5"/>
  <c r="N98" i="5"/>
  <c r="BD119" i="5"/>
  <c r="AI25" i="5"/>
  <c r="AI111" i="5"/>
  <c r="AH56" i="5"/>
  <c r="AJ56" i="5" s="1"/>
  <c r="AI56" i="5"/>
  <c r="P53" i="5"/>
  <c r="N57" i="5"/>
  <c r="M121" i="5"/>
  <c r="O121" i="5" s="1"/>
  <c r="AI82" i="5"/>
  <c r="AI97" i="5"/>
  <c r="AI81" i="5"/>
  <c r="BC26" i="5"/>
  <c r="BE26" i="5" s="1"/>
  <c r="AH90" i="5"/>
  <c r="AJ90" i="5" s="1"/>
  <c r="AH82" i="5"/>
  <c r="AJ82" i="5" s="1"/>
  <c r="M42" i="5"/>
  <c r="O42" i="5" s="1"/>
  <c r="AW5" i="1"/>
  <c r="AW12" i="1" s="1"/>
  <c r="AN15" i="1"/>
  <c r="AW4" i="1"/>
  <c r="R15" i="1"/>
  <c r="S15" i="1"/>
  <c r="AO15" i="1"/>
  <c r="AO13" i="1"/>
  <c r="R13" i="1"/>
  <c r="S13" i="1"/>
  <c r="AN13" i="1"/>
  <c r="BA15" i="1"/>
  <c r="BC13" i="1"/>
  <c r="BC23" i="1" s="1"/>
  <c r="BC14" i="1"/>
  <c r="BC24" i="1" s="1"/>
  <c r="AW13" i="1"/>
  <c r="AW14" i="1"/>
  <c r="C24" i="1"/>
  <c r="B24" i="1"/>
  <c r="A25" i="1"/>
  <c r="A26" i="1" s="1"/>
  <c r="A27" i="1" s="1"/>
  <c r="B8" i="1"/>
  <c r="BH52" i="5" l="1"/>
  <c r="BH65" i="5"/>
  <c r="BH115" i="5"/>
  <c r="AM80" i="5"/>
  <c r="BH56" i="5"/>
  <c r="BG107" i="5"/>
  <c r="BK107" i="5" s="1"/>
  <c r="AM58" i="5"/>
  <c r="Q84" i="5"/>
  <c r="U84" i="5" s="1"/>
  <c r="AN54" i="5"/>
  <c r="AM60" i="5"/>
  <c r="BG124" i="5"/>
  <c r="BK124" i="5" s="1"/>
  <c r="AW11" i="1"/>
  <c r="BG50" i="5"/>
  <c r="BK50" i="5" s="1"/>
  <c r="BI91" i="5"/>
  <c r="BG65" i="5"/>
  <c r="BK65" i="5" s="1"/>
  <c r="AN89" i="5"/>
  <c r="BI65" i="5"/>
  <c r="AN87" i="5"/>
  <c r="BG91" i="5"/>
  <c r="AM109" i="5"/>
  <c r="AN30" i="5"/>
  <c r="AM92" i="5"/>
  <c r="BI113" i="5"/>
  <c r="S104" i="5"/>
  <c r="AN60" i="5"/>
  <c r="AN74" i="5"/>
  <c r="AM44" i="5"/>
  <c r="AN94" i="5"/>
  <c r="R95" i="5"/>
  <c r="BH82" i="5"/>
  <c r="AL44" i="5"/>
  <c r="AP44" i="5" s="1"/>
  <c r="AL108" i="5"/>
  <c r="AQ108" i="5" s="1"/>
  <c r="AL75" i="5"/>
  <c r="AP75" i="5" s="1"/>
  <c r="AN44" i="5"/>
  <c r="R117" i="5"/>
  <c r="AN108" i="5"/>
  <c r="S84" i="5"/>
  <c r="AN91" i="5"/>
  <c r="BG121" i="5"/>
  <c r="BK121" i="5" s="1"/>
  <c r="AM94" i="5"/>
  <c r="R84" i="5"/>
  <c r="BH112" i="5"/>
  <c r="AL94" i="5"/>
  <c r="BG49" i="5"/>
  <c r="R109" i="5"/>
  <c r="AL60" i="5"/>
  <c r="AP60" i="5" s="1"/>
  <c r="Q44" i="5"/>
  <c r="U44" i="5" s="1"/>
  <c r="AL26" i="5"/>
  <c r="AP26" i="5" s="1"/>
  <c r="BI47" i="5"/>
  <c r="BH74" i="5"/>
  <c r="BH72" i="5"/>
  <c r="AM107" i="5"/>
  <c r="AM90" i="5"/>
  <c r="BH25" i="5"/>
  <c r="R26" i="5"/>
  <c r="Q60" i="5"/>
  <c r="U60" i="5" s="1"/>
  <c r="AL114" i="5"/>
  <c r="AP114" i="5" s="1"/>
  <c r="AN101" i="5"/>
  <c r="AN86" i="5"/>
  <c r="BH58" i="5"/>
  <c r="Q114" i="5"/>
  <c r="U114" i="5" s="1"/>
  <c r="AM75" i="5"/>
  <c r="BH91" i="5"/>
  <c r="BI25" i="5"/>
  <c r="AL91" i="5"/>
  <c r="AP91" i="5" s="1"/>
  <c r="BG80" i="5"/>
  <c r="BG25" i="5"/>
  <c r="BK25" i="5" s="1"/>
  <c r="Q79" i="5"/>
  <c r="BI87" i="5"/>
  <c r="AM63" i="5"/>
  <c r="BG122" i="5"/>
  <c r="BK122" i="5" s="1"/>
  <c r="AM68" i="5"/>
  <c r="AN83" i="5"/>
  <c r="AM84" i="5"/>
  <c r="AM91" i="5"/>
  <c r="BI62" i="5"/>
  <c r="R76" i="5"/>
  <c r="AN27" i="5"/>
  <c r="BH41" i="5"/>
  <c r="AL76" i="5"/>
  <c r="AP76" i="5" s="1"/>
  <c r="AL107" i="5"/>
  <c r="AP107" i="5" s="1"/>
  <c r="Q104" i="5"/>
  <c r="U104" i="5" s="1"/>
  <c r="S24" i="5"/>
  <c r="BG96" i="5"/>
  <c r="BK96" i="5" s="1"/>
  <c r="AM116" i="5"/>
  <c r="BH42" i="5"/>
  <c r="R104" i="5"/>
  <c r="S72" i="5"/>
  <c r="AM98" i="5"/>
  <c r="R87" i="5"/>
  <c r="Q110" i="5"/>
  <c r="BH27" i="5"/>
  <c r="Q52" i="5"/>
  <c r="U52" i="5" s="1"/>
  <c r="S46" i="5"/>
  <c r="BG92" i="5"/>
  <c r="BK92" i="5" s="1"/>
  <c r="AN47" i="5"/>
  <c r="BH40" i="5"/>
  <c r="BH114" i="5"/>
  <c r="R50" i="5"/>
  <c r="AN33" i="5"/>
  <c r="BH89" i="5"/>
  <c r="BI86" i="5"/>
  <c r="Q75" i="5"/>
  <c r="U75" i="5" s="1"/>
  <c r="AL77" i="5"/>
  <c r="AP77" i="5" s="1"/>
  <c r="AM114" i="5"/>
  <c r="BG27" i="5"/>
  <c r="R66" i="5"/>
  <c r="R88" i="5"/>
  <c r="AN75" i="5"/>
  <c r="AN76" i="5"/>
  <c r="AL24" i="5"/>
  <c r="AP24" i="5" s="1"/>
  <c r="AL54" i="5"/>
  <c r="AM76" i="5"/>
  <c r="Q106" i="5"/>
  <c r="U106" i="5" s="1"/>
  <c r="AL61" i="5"/>
  <c r="Q30" i="5"/>
  <c r="U30" i="5" s="1"/>
  <c r="AL84" i="5"/>
  <c r="AP84" i="5" s="1"/>
  <c r="S36" i="5"/>
  <c r="Q103" i="5"/>
  <c r="BH44" i="5"/>
  <c r="AN110" i="5"/>
  <c r="AN84" i="5"/>
  <c r="AM73" i="5"/>
  <c r="R100" i="5"/>
  <c r="AN102" i="5"/>
  <c r="BI80" i="5"/>
  <c r="S100" i="5"/>
  <c r="S110" i="5"/>
  <c r="AM52" i="5"/>
  <c r="AN63" i="5"/>
  <c r="S76" i="5"/>
  <c r="BH80" i="5"/>
  <c r="BH107" i="5"/>
  <c r="BI107" i="5"/>
  <c r="BM107" i="5" s="1"/>
  <c r="R110" i="5"/>
  <c r="BH34" i="5"/>
  <c r="BH66" i="5"/>
  <c r="BH55" i="5"/>
  <c r="S47" i="5"/>
  <c r="Q72" i="5"/>
  <c r="U72" i="5" s="1"/>
  <c r="AN114" i="5"/>
  <c r="AN61" i="5"/>
  <c r="BG33" i="5"/>
  <c r="BK33" i="5" s="1"/>
  <c r="BG89" i="5"/>
  <c r="AL100" i="5"/>
  <c r="AP100" i="5" s="1"/>
  <c r="AN107" i="5"/>
  <c r="AN122" i="5"/>
  <c r="R72" i="5"/>
  <c r="Q87" i="5"/>
  <c r="U87" i="5" s="1"/>
  <c r="BG105" i="5"/>
  <c r="BK105" i="5" s="1"/>
  <c r="AN58" i="5"/>
  <c r="AM54" i="5"/>
  <c r="BI27" i="5"/>
  <c r="BH64" i="5"/>
  <c r="AL63" i="5"/>
  <c r="AP63" i="5" s="1"/>
  <c r="BG84" i="5"/>
  <c r="BK84" i="5" s="1"/>
  <c r="R120" i="5"/>
  <c r="R60" i="5"/>
  <c r="Q63" i="5"/>
  <c r="AM71" i="5"/>
  <c r="BI39" i="5"/>
  <c r="BI66" i="5"/>
  <c r="BI44" i="5"/>
  <c r="AN99" i="5"/>
  <c r="AN70" i="5"/>
  <c r="Q102" i="5"/>
  <c r="U102" i="5" s="1"/>
  <c r="BH81" i="5"/>
  <c r="BG66" i="5"/>
  <c r="BK66" i="5" s="1"/>
  <c r="BG44" i="5"/>
  <c r="BH29" i="5"/>
  <c r="BG67" i="5"/>
  <c r="BK67" i="5" s="1"/>
  <c r="BH32" i="5"/>
  <c r="BG116" i="5"/>
  <c r="BK116" i="5" s="1"/>
  <c r="S30" i="5"/>
  <c r="S29" i="5"/>
  <c r="AN118" i="5"/>
  <c r="Q100" i="5"/>
  <c r="U100" i="5" s="1"/>
  <c r="Q36" i="5"/>
  <c r="U36" i="5" s="1"/>
  <c r="R103" i="5"/>
  <c r="AM61" i="5"/>
  <c r="S103" i="5"/>
  <c r="R81" i="5"/>
  <c r="BG99" i="5"/>
  <c r="BK99" i="5" s="1"/>
  <c r="AN100" i="5"/>
  <c r="BG100" i="5"/>
  <c r="BK100" i="5" s="1"/>
  <c r="AN73" i="5"/>
  <c r="R78" i="5"/>
  <c r="BG28" i="5"/>
  <c r="BK28" i="5" s="1"/>
  <c r="AN95" i="5"/>
  <c r="AL122" i="5"/>
  <c r="AP122" i="5" s="1"/>
  <c r="S60" i="5"/>
  <c r="R36" i="5"/>
  <c r="S25" i="5"/>
  <c r="R113" i="5"/>
  <c r="AM115" i="5"/>
  <c r="R34" i="5"/>
  <c r="AL99" i="5"/>
  <c r="BI89" i="5"/>
  <c r="R106" i="5"/>
  <c r="R30" i="5"/>
  <c r="S105" i="5"/>
  <c r="S80" i="5"/>
  <c r="AL98" i="5"/>
  <c r="AN66" i="5"/>
  <c r="R29" i="5"/>
  <c r="R44" i="5"/>
  <c r="AM118" i="5"/>
  <c r="AM102" i="5"/>
  <c r="AM99" i="5"/>
  <c r="AL89" i="5"/>
  <c r="BI121" i="5"/>
  <c r="BH57" i="5"/>
  <c r="BH26" i="5"/>
  <c r="S90" i="5"/>
  <c r="AM89" i="5"/>
  <c r="AL29" i="5"/>
  <c r="AN98" i="5"/>
  <c r="AN104" i="5"/>
  <c r="R82" i="5"/>
  <c r="S44" i="5"/>
  <c r="AN103" i="5"/>
  <c r="AL118" i="5"/>
  <c r="AP118" i="5" s="1"/>
  <c r="AL102" i="5"/>
  <c r="S58" i="5"/>
  <c r="BI34" i="5"/>
  <c r="BH121" i="5"/>
  <c r="BH47" i="5"/>
  <c r="BI109" i="5"/>
  <c r="BG34" i="5"/>
  <c r="BK34" i="5" s="1"/>
  <c r="AL57" i="5"/>
  <c r="AQ57" i="5" s="1"/>
  <c r="Q35" i="5"/>
  <c r="U35" i="5" s="1"/>
  <c r="AN57" i="5"/>
  <c r="AL83" i="5"/>
  <c r="AM74" i="5"/>
  <c r="AM123" i="5"/>
  <c r="S106" i="5"/>
  <c r="BG47" i="5"/>
  <c r="BK47" i="5" s="1"/>
  <c r="Q53" i="5"/>
  <c r="Q45" i="5"/>
  <c r="BI35" i="5"/>
  <c r="AL79" i="5"/>
  <c r="AN119" i="5"/>
  <c r="AN55" i="5"/>
  <c r="Q54" i="5"/>
  <c r="U54" i="5" s="1"/>
  <c r="AM69" i="5"/>
  <c r="BK97" i="5"/>
  <c r="BK83" i="5"/>
  <c r="BK49" i="5"/>
  <c r="AL68" i="5"/>
  <c r="AN24" i="5"/>
  <c r="BG76" i="5"/>
  <c r="BH76" i="5"/>
  <c r="BI76" i="5"/>
  <c r="BH39" i="5"/>
  <c r="BH105" i="5"/>
  <c r="BH97" i="5"/>
  <c r="BL97" i="5" s="1"/>
  <c r="BH50" i="5"/>
  <c r="BG113" i="5"/>
  <c r="BH62" i="5"/>
  <c r="BI55" i="5"/>
  <c r="BH49" i="5"/>
  <c r="BI41" i="5"/>
  <c r="BH33" i="5"/>
  <c r="BI96" i="5"/>
  <c r="BH122" i="5"/>
  <c r="BG115" i="5"/>
  <c r="BI116" i="5"/>
  <c r="BH35" i="5"/>
  <c r="BG52" i="5"/>
  <c r="BG29" i="5"/>
  <c r="Q76" i="5"/>
  <c r="U76" i="5" s="1"/>
  <c r="AL109" i="5"/>
  <c r="BI103" i="5"/>
  <c r="BG103" i="5"/>
  <c r="BH103" i="5"/>
  <c r="BI79" i="5"/>
  <c r="BG79" i="5"/>
  <c r="BH79" i="5"/>
  <c r="BG43" i="5"/>
  <c r="BI43" i="5"/>
  <c r="BH43" i="5"/>
  <c r="BI30" i="5"/>
  <c r="BG30" i="5"/>
  <c r="BH30" i="5"/>
  <c r="BG39" i="5"/>
  <c r="BH113" i="5"/>
  <c r="BG62" i="5"/>
  <c r="BH87" i="5"/>
  <c r="BG41" i="5"/>
  <c r="BH96" i="5"/>
  <c r="BH109" i="5"/>
  <c r="BI46" i="5"/>
  <c r="BH46" i="5"/>
  <c r="BG46" i="5"/>
  <c r="BH86" i="5"/>
  <c r="BH116" i="5"/>
  <c r="BL116" i="5" s="1"/>
  <c r="BG35" i="5"/>
  <c r="BI29" i="5"/>
  <c r="BI119" i="5"/>
  <c r="BH119" i="5"/>
  <c r="BG119" i="5"/>
  <c r="BI78" i="5"/>
  <c r="BG78" i="5"/>
  <c r="BH78" i="5"/>
  <c r="BI24" i="5"/>
  <c r="BG24" i="5"/>
  <c r="BK24" i="5" s="1"/>
  <c r="BH24" i="5"/>
  <c r="AM77" i="5"/>
  <c r="BI94" i="5"/>
  <c r="BG94" i="5"/>
  <c r="BH94" i="5"/>
  <c r="BI93" i="5"/>
  <c r="BG93" i="5"/>
  <c r="BH93" i="5"/>
  <c r="BI63" i="5"/>
  <c r="BG63" i="5"/>
  <c r="BH63" i="5"/>
  <c r="BI69" i="5"/>
  <c r="BG69" i="5"/>
  <c r="BH69" i="5"/>
  <c r="BI102" i="5"/>
  <c r="BG102" i="5"/>
  <c r="BH102" i="5"/>
  <c r="BI101" i="5"/>
  <c r="BG101" i="5"/>
  <c r="BH101" i="5"/>
  <c r="BG68" i="5"/>
  <c r="BI68" i="5"/>
  <c r="BH68" i="5"/>
  <c r="BG42" i="5"/>
  <c r="BG87" i="5"/>
  <c r="BI40" i="5"/>
  <c r="BG109" i="5"/>
  <c r="BG82" i="5"/>
  <c r="BI67" i="5"/>
  <c r="BI100" i="5"/>
  <c r="BG86" i="5"/>
  <c r="BH28" i="5"/>
  <c r="BG56" i="5"/>
  <c r="BG32" i="5"/>
  <c r="BH90" i="5"/>
  <c r="BG90" i="5"/>
  <c r="BI90" i="5"/>
  <c r="Q29" i="5"/>
  <c r="AN71" i="5"/>
  <c r="R101" i="5"/>
  <c r="BI84" i="5"/>
  <c r="BI42" i="5"/>
  <c r="BH83" i="5"/>
  <c r="BL83" i="5" s="1"/>
  <c r="BG40" i="5"/>
  <c r="BG81" i="5"/>
  <c r="BH48" i="5"/>
  <c r="BG48" i="5"/>
  <c r="BI48" i="5"/>
  <c r="BI54" i="5"/>
  <c r="BG54" i="5"/>
  <c r="BH54" i="5"/>
  <c r="BI82" i="5"/>
  <c r="BH67" i="5"/>
  <c r="BH100" i="5"/>
  <c r="BI64" i="5"/>
  <c r="BI28" i="5"/>
  <c r="BI56" i="5"/>
  <c r="BI32" i="5"/>
  <c r="BH120" i="5"/>
  <c r="BI120" i="5"/>
  <c r="BG120" i="5"/>
  <c r="BI53" i="5"/>
  <c r="BG53" i="5"/>
  <c r="BH53" i="5"/>
  <c r="BI61" i="5"/>
  <c r="BG61" i="5"/>
  <c r="BH61" i="5"/>
  <c r="BH88" i="5"/>
  <c r="BG88" i="5"/>
  <c r="BI88" i="5"/>
  <c r="BI114" i="5"/>
  <c r="BH84" i="5"/>
  <c r="BI83" i="5"/>
  <c r="BM83" i="5" s="1"/>
  <c r="BK91" i="5"/>
  <c r="BI81" i="5"/>
  <c r="BI58" i="5"/>
  <c r="BI26" i="5"/>
  <c r="BG64" i="5"/>
  <c r="BH104" i="5"/>
  <c r="BG104" i="5"/>
  <c r="BI104" i="5"/>
  <c r="BI74" i="5"/>
  <c r="BI118" i="5"/>
  <c r="BG118" i="5"/>
  <c r="BH118" i="5"/>
  <c r="BG123" i="5"/>
  <c r="BH123" i="5"/>
  <c r="BI123" i="5"/>
  <c r="BI37" i="5"/>
  <c r="BG37" i="5"/>
  <c r="BH37" i="5"/>
  <c r="BI85" i="5"/>
  <c r="BG85" i="5"/>
  <c r="BH85" i="5"/>
  <c r="BI70" i="5"/>
  <c r="BH70" i="5"/>
  <c r="BG70" i="5"/>
  <c r="BG114" i="5"/>
  <c r="BG59" i="5"/>
  <c r="BH59" i="5"/>
  <c r="BI59" i="5"/>
  <c r="BH92" i="5"/>
  <c r="BG60" i="5"/>
  <c r="BH60" i="5"/>
  <c r="BI60" i="5"/>
  <c r="BH73" i="5"/>
  <c r="BG73" i="5"/>
  <c r="BI73" i="5"/>
  <c r="BI71" i="5"/>
  <c r="BH71" i="5"/>
  <c r="BG71" i="5"/>
  <c r="BI99" i="5"/>
  <c r="BI72" i="5"/>
  <c r="BG58" i="5"/>
  <c r="BG57" i="5"/>
  <c r="BI98" i="5"/>
  <c r="BG26" i="5"/>
  <c r="BI112" i="5"/>
  <c r="BI31" i="5"/>
  <c r="BH31" i="5"/>
  <c r="BG31" i="5"/>
  <c r="BG74" i="5"/>
  <c r="BI124" i="5"/>
  <c r="BM124" i="5" s="1"/>
  <c r="BI95" i="5"/>
  <c r="BH95" i="5"/>
  <c r="BG95" i="5"/>
  <c r="BG108" i="5"/>
  <c r="BI108" i="5"/>
  <c r="BH108" i="5"/>
  <c r="BI77" i="5"/>
  <c r="BG77" i="5"/>
  <c r="BH77" i="5"/>
  <c r="BI117" i="5"/>
  <c r="BG117" i="5"/>
  <c r="BH117" i="5"/>
  <c r="BI105" i="5"/>
  <c r="BI97" i="5"/>
  <c r="BM97" i="5" s="1"/>
  <c r="BI50" i="5"/>
  <c r="BM50" i="5" s="1"/>
  <c r="BI92" i="5"/>
  <c r="BG55" i="5"/>
  <c r="BI49" i="5"/>
  <c r="BM49" i="5" s="1"/>
  <c r="BI33" i="5"/>
  <c r="BI122" i="5"/>
  <c r="BH99" i="5"/>
  <c r="BI115" i="5"/>
  <c r="BG72" i="5"/>
  <c r="BI57" i="5"/>
  <c r="BG98" i="5"/>
  <c r="BG36" i="5"/>
  <c r="BH36" i="5"/>
  <c r="BI36" i="5"/>
  <c r="BG112" i="5"/>
  <c r="BI52" i="5"/>
  <c r="BH124" i="5"/>
  <c r="BL124" i="5" s="1"/>
  <c r="BG75" i="5"/>
  <c r="BH75" i="5"/>
  <c r="BI75" i="5"/>
  <c r="BI45" i="5"/>
  <c r="BG45" i="5"/>
  <c r="BH45" i="5"/>
  <c r="BI111" i="5"/>
  <c r="BG111" i="5"/>
  <c r="BH111" i="5"/>
  <c r="BG51" i="5"/>
  <c r="BH51" i="5"/>
  <c r="BI51" i="5"/>
  <c r="S78" i="5"/>
  <c r="BH106" i="5"/>
  <c r="BI106" i="5"/>
  <c r="BG106" i="5"/>
  <c r="BI38" i="5"/>
  <c r="BG38" i="5"/>
  <c r="BH38" i="5"/>
  <c r="BI110" i="5"/>
  <c r="BH110" i="5"/>
  <c r="BG110" i="5"/>
  <c r="S87" i="5"/>
  <c r="AL74" i="5"/>
  <c r="AM66" i="5"/>
  <c r="AN77" i="5"/>
  <c r="AN26" i="5"/>
  <c r="Q109" i="5"/>
  <c r="AL73" i="5"/>
  <c r="Q111" i="5"/>
  <c r="Q101" i="5"/>
  <c r="AM33" i="5"/>
  <c r="Q82" i="5"/>
  <c r="U82" i="5" s="1"/>
  <c r="S82" i="5"/>
  <c r="AN68" i="5"/>
  <c r="S120" i="5"/>
  <c r="AL103" i="5"/>
  <c r="R58" i="5"/>
  <c r="S35" i="5"/>
  <c r="S34" i="5"/>
  <c r="Q95" i="5"/>
  <c r="U95" i="5" s="1"/>
  <c r="S79" i="5"/>
  <c r="AL28" i="5"/>
  <c r="AM36" i="5"/>
  <c r="Q80" i="5"/>
  <c r="AL58" i="5"/>
  <c r="Q78" i="5"/>
  <c r="S54" i="5"/>
  <c r="R79" i="5"/>
  <c r="Q26" i="5"/>
  <c r="U26" i="5" s="1"/>
  <c r="R90" i="5"/>
  <c r="AL71" i="5"/>
  <c r="AM55" i="5"/>
  <c r="S26" i="5"/>
  <c r="AN79" i="5"/>
  <c r="S65" i="5"/>
  <c r="AL66" i="5"/>
  <c r="S109" i="5"/>
  <c r="AM27" i="5"/>
  <c r="S101" i="5"/>
  <c r="AM95" i="5"/>
  <c r="AM24" i="5"/>
  <c r="R53" i="5"/>
  <c r="R105" i="5"/>
  <c r="Q34" i="5"/>
  <c r="Q67" i="5"/>
  <c r="U67" i="5" s="1"/>
  <c r="Q25" i="5"/>
  <c r="AL95" i="5"/>
  <c r="U79" i="5"/>
  <c r="Q39" i="5"/>
  <c r="R39" i="5"/>
  <c r="S39" i="5"/>
  <c r="AN96" i="5"/>
  <c r="AL96" i="5"/>
  <c r="AM96" i="5"/>
  <c r="AN39" i="5"/>
  <c r="AL39" i="5"/>
  <c r="AM39" i="5"/>
  <c r="AM45" i="5"/>
  <c r="AN45" i="5"/>
  <c r="AL45" i="5"/>
  <c r="U110" i="5"/>
  <c r="S96" i="5"/>
  <c r="R96" i="5"/>
  <c r="Q96" i="5"/>
  <c r="Q37" i="5"/>
  <c r="R37" i="5"/>
  <c r="S37" i="5"/>
  <c r="AN56" i="5"/>
  <c r="AL56" i="5"/>
  <c r="AM56" i="5"/>
  <c r="Q92" i="5"/>
  <c r="S92" i="5"/>
  <c r="R92" i="5"/>
  <c r="AM119" i="5"/>
  <c r="Q88" i="5"/>
  <c r="R49" i="5"/>
  <c r="S49" i="5"/>
  <c r="Q49" i="5"/>
  <c r="S48" i="5"/>
  <c r="R48" i="5"/>
  <c r="Q48" i="5"/>
  <c r="AM104" i="5"/>
  <c r="R102" i="5"/>
  <c r="Q107" i="5"/>
  <c r="R107" i="5"/>
  <c r="S107" i="5"/>
  <c r="Q85" i="5"/>
  <c r="R85" i="5"/>
  <c r="S85" i="5"/>
  <c r="Q68" i="5"/>
  <c r="S68" i="5"/>
  <c r="R68" i="5"/>
  <c r="AN65" i="5"/>
  <c r="AL65" i="5"/>
  <c r="AM65" i="5"/>
  <c r="S86" i="5"/>
  <c r="Q86" i="5"/>
  <c r="R86" i="5"/>
  <c r="AL119" i="5"/>
  <c r="R45" i="5"/>
  <c r="R74" i="5"/>
  <c r="S74" i="5"/>
  <c r="Q74" i="5"/>
  <c r="AN120" i="5"/>
  <c r="AL120" i="5"/>
  <c r="AM120" i="5"/>
  <c r="R24" i="5"/>
  <c r="AM51" i="5"/>
  <c r="AN51" i="5"/>
  <c r="AL51" i="5"/>
  <c r="R25" i="5"/>
  <c r="AM101" i="5"/>
  <c r="Q81" i="5"/>
  <c r="S88" i="5"/>
  <c r="R33" i="5"/>
  <c r="S33" i="5"/>
  <c r="Q33" i="5"/>
  <c r="R47" i="5"/>
  <c r="AL55" i="5"/>
  <c r="R54" i="5"/>
  <c r="AN112" i="5"/>
  <c r="AL112" i="5"/>
  <c r="AM112" i="5"/>
  <c r="S113" i="5"/>
  <c r="R114" i="5"/>
  <c r="R57" i="5"/>
  <c r="S57" i="5"/>
  <c r="Q57" i="5"/>
  <c r="S64" i="5"/>
  <c r="Q64" i="5"/>
  <c r="R64" i="5"/>
  <c r="Q28" i="5"/>
  <c r="S28" i="5"/>
  <c r="R28" i="5"/>
  <c r="AN29" i="5"/>
  <c r="AM34" i="5"/>
  <c r="AN34" i="5"/>
  <c r="AL34" i="5"/>
  <c r="AL101" i="5"/>
  <c r="S117" i="5"/>
  <c r="AM29" i="5"/>
  <c r="S70" i="5"/>
  <c r="R70" i="5"/>
  <c r="Q70" i="5"/>
  <c r="S45" i="5"/>
  <c r="AN32" i="5"/>
  <c r="AL32" i="5"/>
  <c r="AM32" i="5"/>
  <c r="Q113" i="5"/>
  <c r="S40" i="5"/>
  <c r="Q40" i="5"/>
  <c r="R40" i="5"/>
  <c r="S67" i="5"/>
  <c r="AN81" i="5"/>
  <c r="AL81" i="5"/>
  <c r="AM81" i="5"/>
  <c r="AN111" i="5"/>
  <c r="AL111" i="5"/>
  <c r="AM111" i="5"/>
  <c r="Q117" i="5"/>
  <c r="AM106" i="5"/>
  <c r="AL106" i="5"/>
  <c r="AN106" i="5"/>
  <c r="AM83" i="5"/>
  <c r="Q77" i="5"/>
  <c r="R77" i="5"/>
  <c r="S77" i="5"/>
  <c r="AL115" i="5"/>
  <c r="AL36" i="5"/>
  <c r="AN48" i="5"/>
  <c r="AL48" i="5"/>
  <c r="AM48" i="5"/>
  <c r="AL80" i="5"/>
  <c r="R67" i="5"/>
  <c r="S63" i="5"/>
  <c r="R35" i="5"/>
  <c r="R80" i="5"/>
  <c r="AL104" i="5"/>
  <c r="AL69" i="5"/>
  <c r="AM47" i="5"/>
  <c r="S102" i="5"/>
  <c r="Q116" i="5"/>
  <c r="S116" i="5"/>
  <c r="R116" i="5"/>
  <c r="AN88" i="5"/>
  <c r="AL88" i="5"/>
  <c r="AM88" i="5"/>
  <c r="S62" i="5"/>
  <c r="Q62" i="5"/>
  <c r="R62" i="5"/>
  <c r="AM110" i="5"/>
  <c r="Q24" i="5"/>
  <c r="AM117" i="5"/>
  <c r="AN117" i="5"/>
  <c r="AL117" i="5"/>
  <c r="S81" i="5"/>
  <c r="Q47" i="5"/>
  <c r="AM85" i="5"/>
  <c r="AN85" i="5"/>
  <c r="AL85" i="5"/>
  <c r="AL123" i="5"/>
  <c r="AL33" i="5"/>
  <c r="AM86" i="5"/>
  <c r="AP94" i="5"/>
  <c r="AR94" i="5"/>
  <c r="AN40" i="5"/>
  <c r="AL40" i="5"/>
  <c r="AM40" i="5"/>
  <c r="AM93" i="5"/>
  <c r="AN93" i="5"/>
  <c r="AL93" i="5"/>
  <c r="R121" i="5"/>
  <c r="S121" i="5"/>
  <c r="Q121" i="5"/>
  <c r="AN62" i="5"/>
  <c r="AL62" i="5"/>
  <c r="AM62" i="5"/>
  <c r="R65" i="5"/>
  <c r="AM35" i="5"/>
  <c r="AL35" i="5"/>
  <c r="AN35" i="5"/>
  <c r="AN97" i="5"/>
  <c r="AL97" i="5"/>
  <c r="AM97" i="5"/>
  <c r="AL116" i="5"/>
  <c r="Q71" i="5"/>
  <c r="R71" i="5"/>
  <c r="S71" i="5"/>
  <c r="AN115" i="5"/>
  <c r="AN36" i="5"/>
  <c r="AM87" i="5"/>
  <c r="R89" i="5"/>
  <c r="S89" i="5"/>
  <c r="Q89" i="5"/>
  <c r="AN80" i="5"/>
  <c r="R63" i="5"/>
  <c r="R52" i="5"/>
  <c r="AL90" i="5"/>
  <c r="AN69" i="5"/>
  <c r="AL47" i="5"/>
  <c r="AM30" i="5"/>
  <c r="Q55" i="5"/>
  <c r="R55" i="5"/>
  <c r="S55" i="5"/>
  <c r="S38" i="5"/>
  <c r="R38" i="5"/>
  <c r="Q38" i="5"/>
  <c r="AL110" i="5"/>
  <c r="Q50" i="5"/>
  <c r="AN113" i="5"/>
  <c r="AL113" i="5"/>
  <c r="AM113" i="5"/>
  <c r="AL92" i="5"/>
  <c r="AM37" i="5"/>
  <c r="AN37" i="5"/>
  <c r="AL37" i="5"/>
  <c r="AN64" i="5"/>
  <c r="AL64" i="5"/>
  <c r="AM64" i="5"/>
  <c r="R46" i="5"/>
  <c r="Q115" i="5"/>
  <c r="R115" i="5"/>
  <c r="S115" i="5"/>
  <c r="AM70" i="5"/>
  <c r="AN123" i="5"/>
  <c r="S56" i="5"/>
  <c r="R56" i="5"/>
  <c r="Q56" i="5"/>
  <c r="S75" i="5"/>
  <c r="Q66" i="5"/>
  <c r="S111" i="5"/>
  <c r="AL86" i="5"/>
  <c r="AL52" i="5"/>
  <c r="Q65" i="5"/>
  <c r="S94" i="5"/>
  <c r="R94" i="5"/>
  <c r="Q94" i="5"/>
  <c r="S32" i="5"/>
  <c r="R32" i="5"/>
  <c r="Q32" i="5"/>
  <c r="AM59" i="5"/>
  <c r="AN59" i="5"/>
  <c r="AL59" i="5"/>
  <c r="Q51" i="5"/>
  <c r="R51" i="5"/>
  <c r="S51" i="5"/>
  <c r="Q61" i="5"/>
  <c r="R61" i="5"/>
  <c r="S61" i="5"/>
  <c r="AM43" i="5"/>
  <c r="AL43" i="5"/>
  <c r="AN43" i="5"/>
  <c r="AP99" i="5"/>
  <c r="Q91" i="5"/>
  <c r="R91" i="5"/>
  <c r="S91" i="5"/>
  <c r="AN72" i="5"/>
  <c r="AL72" i="5"/>
  <c r="AM72" i="5"/>
  <c r="AM82" i="5"/>
  <c r="AN82" i="5"/>
  <c r="AL82" i="5"/>
  <c r="AM53" i="5"/>
  <c r="AN53" i="5"/>
  <c r="AL53" i="5"/>
  <c r="AN116" i="5"/>
  <c r="R97" i="5"/>
  <c r="S97" i="5"/>
  <c r="Q97" i="5"/>
  <c r="AL87" i="5"/>
  <c r="AN109" i="5"/>
  <c r="AN41" i="5"/>
  <c r="AL41" i="5"/>
  <c r="AM41" i="5"/>
  <c r="Q43" i="5"/>
  <c r="R43" i="5"/>
  <c r="S43" i="5"/>
  <c r="Q69" i="5"/>
  <c r="R69" i="5"/>
  <c r="S69" i="5"/>
  <c r="S52" i="5"/>
  <c r="AN90" i="5"/>
  <c r="AM79" i="5"/>
  <c r="Q120" i="5"/>
  <c r="AL30" i="5"/>
  <c r="Q105" i="5"/>
  <c r="Q108" i="5"/>
  <c r="S108" i="5"/>
  <c r="R108" i="5"/>
  <c r="AM42" i="5"/>
  <c r="AL42" i="5"/>
  <c r="AN42" i="5"/>
  <c r="Q59" i="5"/>
  <c r="R59" i="5"/>
  <c r="S59" i="5"/>
  <c r="Q90" i="5"/>
  <c r="AN49" i="5"/>
  <c r="AL49" i="5"/>
  <c r="AM49" i="5"/>
  <c r="S50" i="5"/>
  <c r="AN92" i="5"/>
  <c r="S95" i="5"/>
  <c r="Q83" i="5"/>
  <c r="R83" i="5"/>
  <c r="S83" i="5"/>
  <c r="AL27" i="5"/>
  <c r="Q46" i="5"/>
  <c r="AM103" i="5"/>
  <c r="S53" i="5"/>
  <c r="AL70" i="5"/>
  <c r="Q58" i="5"/>
  <c r="Q99" i="5"/>
  <c r="R99" i="5"/>
  <c r="S99" i="5"/>
  <c r="R73" i="5"/>
  <c r="S73" i="5"/>
  <c r="Q73" i="5"/>
  <c r="R75" i="5"/>
  <c r="S66" i="5"/>
  <c r="S118" i="5"/>
  <c r="R118" i="5"/>
  <c r="Q118" i="5"/>
  <c r="R111" i="5"/>
  <c r="AN52" i="5"/>
  <c r="S112" i="5"/>
  <c r="R112" i="5"/>
  <c r="Q112" i="5"/>
  <c r="AN38" i="5"/>
  <c r="AL38" i="5"/>
  <c r="AM38" i="5"/>
  <c r="AN121" i="5"/>
  <c r="AL121" i="5"/>
  <c r="AM121" i="5"/>
  <c r="AM26" i="5"/>
  <c r="R41" i="5"/>
  <c r="S41" i="5"/>
  <c r="Q41" i="5"/>
  <c r="AN28" i="5"/>
  <c r="AN105" i="5"/>
  <c r="AL105" i="5"/>
  <c r="AM105" i="5"/>
  <c r="AN46" i="5"/>
  <c r="AL46" i="5"/>
  <c r="AM46" i="5"/>
  <c r="AN25" i="5"/>
  <c r="AL25" i="5"/>
  <c r="AM25" i="5"/>
  <c r="R98" i="5"/>
  <c r="S98" i="5"/>
  <c r="Q98" i="5"/>
  <c r="AQ91" i="5"/>
  <c r="AN78" i="5"/>
  <c r="AL78" i="5"/>
  <c r="AM78" i="5"/>
  <c r="S114" i="5"/>
  <c r="Q119" i="5"/>
  <c r="R119" i="5"/>
  <c r="S119" i="5"/>
  <c r="Q93" i="5"/>
  <c r="R93" i="5"/>
  <c r="S93" i="5"/>
  <c r="AM67" i="5"/>
  <c r="AN67" i="5"/>
  <c r="AL67" i="5"/>
  <c r="AN31" i="5"/>
  <c r="AL31" i="5"/>
  <c r="AM31" i="5"/>
  <c r="AM50" i="5"/>
  <c r="AN50" i="5"/>
  <c r="AL50" i="5"/>
  <c r="Q27" i="5"/>
  <c r="R27" i="5"/>
  <c r="S27" i="5"/>
  <c r="Q31" i="5"/>
  <c r="R31" i="5"/>
  <c r="S31" i="5"/>
  <c r="R42" i="5"/>
  <c r="S42" i="5"/>
  <c r="Q42" i="5"/>
  <c r="AX8" i="1"/>
  <c r="AZ15" i="1" s="1"/>
  <c r="B13" i="1"/>
  <c r="A28" i="1"/>
  <c r="C27" i="1"/>
  <c r="B27" i="1"/>
  <c r="B25" i="1"/>
  <c r="C25" i="1"/>
  <c r="B26" i="1"/>
  <c r="C26" i="1"/>
  <c r="W60" i="5" l="1"/>
  <c r="AR108" i="5"/>
  <c r="W84" i="5"/>
  <c r="AQ77" i="5"/>
  <c r="V84" i="5"/>
  <c r="T84" i="5" s="1"/>
  <c r="AQ114" i="5"/>
  <c r="AO114" i="5" s="1"/>
  <c r="BL107" i="5"/>
  <c r="BJ107" i="5" s="1"/>
  <c r="AR107" i="5"/>
  <c r="BL80" i="5"/>
  <c r="BJ80" i="5" s="1"/>
  <c r="AQ107" i="5"/>
  <c r="AO107" i="5" s="1"/>
  <c r="BM25" i="5"/>
  <c r="AQ26" i="5"/>
  <c r="AO26" i="5" s="1"/>
  <c r="AQ94" i="5"/>
  <c r="AO94" i="5" s="1"/>
  <c r="BL91" i="5"/>
  <c r="BJ91" i="5" s="1"/>
  <c r="BK80" i="5"/>
  <c r="AR54" i="5"/>
  <c r="W104" i="5"/>
  <c r="BM80" i="5"/>
  <c r="AQ63" i="5"/>
  <c r="AO63" i="5" s="1"/>
  <c r="AQ75" i="5"/>
  <c r="AO75" i="5" s="1"/>
  <c r="AR91" i="5"/>
  <c r="BM91" i="5"/>
  <c r="AR75" i="5"/>
  <c r="AR60" i="5"/>
  <c r="BL50" i="5"/>
  <c r="BJ50" i="5" s="1"/>
  <c r="AP57" i="5"/>
  <c r="AQ60" i="5"/>
  <c r="AO60" i="5" s="1"/>
  <c r="V29" i="5"/>
  <c r="BM47" i="5"/>
  <c r="AQ118" i="5"/>
  <c r="AO118" i="5" s="1"/>
  <c r="W103" i="5"/>
  <c r="BM65" i="5"/>
  <c r="BL65" i="5"/>
  <c r="BJ65" i="5" s="1"/>
  <c r="V75" i="5"/>
  <c r="T75" i="5" s="1"/>
  <c r="BE15" i="5"/>
  <c r="AR114" i="5"/>
  <c r="BL33" i="5"/>
  <c r="BJ33" i="5" s="1"/>
  <c r="AR99" i="5"/>
  <c r="AR28" i="5"/>
  <c r="BJ124" i="5"/>
  <c r="W35" i="5"/>
  <c r="V44" i="5"/>
  <c r="T44" i="5" s="1"/>
  <c r="AQ24" i="5"/>
  <c r="AR58" i="5"/>
  <c r="AQ68" i="5"/>
  <c r="V63" i="5"/>
  <c r="AP108" i="5"/>
  <c r="AO108" i="5" s="1"/>
  <c r="AQ122" i="5"/>
  <c r="AO122" i="5" s="1"/>
  <c r="BM122" i="5"/>
  <c r="BM33" i="5"/>
  <c r="W44" i="5"/>
  <c r="AR76" i="5"/>
  <c r="AR44" i="5"/>
  <c r="V60" i="5"/>
  <c r="T60" i="5" s="1"/>
  <c r="BL47" i="5"/>
  <c r="BJ47" i="5" s="1"/>
  <c r="BM121" i="5"/>
  <c r="V103" i="5"/>
  <c r="U103" i="5"/>
  <c r="AQ44" i="5"/>
  <c r="AO44" i="5" s="1"/>
  <c r="AR77" i="5"/>
  <c r="BL121" i="5"/>
  <c r="BJ121" i="5" s="1"/>
  <c r="AR61" i="5"/>
  <c r="V110" i="5"/>
  <c r="T110" i="5" s="1"/>
  <c r="V35" i="5"/>
  <c r="T35" i="5" s="1"/>
  <c r="V54" i="5"/>
  <c r="T54" i="5" s="1"/>
  <c r="AR26" i="5"/>
  <c r="AR24" i="5"/>
  <c r="W54" i="5"/>
  <c r="BL122" i="5"/>
  <c r="BJ122" i="5" s="1"/>
  <c r="V114" i="5"/>
  <c r="T114" i="5" s="1"/>
  <c r="BL44" i="5"/>
  <c r="AQ76" i="5"/>
  <c r="AO76" i="5" s="1"/>
  <c r="W52" i="5"/>
  <c r="V109" i="5"/>
  <c r="AR102" i="5"/>
  <c r="BL89" i="5"/>
  <c r="W87" i="5"/>
  <c r="W114" i="5"/>
  <c r="V52" i="5"/>
  <c r="T52" i="5" s="1"/>
  <c r="BL84" i="5"/>
  <c r="BJ84" i="5" s="1"/>
  <c r="BK89" i="5"/>
  <c r="AQ84" i="5"/>
  <c r="AO84" i="5" s="1"/>
  <c r="BL49" i="5"/>
  <c r="BJ49" i="5" s="1"/>
  <c r="BJ83" i="5"/>
  <c r="W30" i="5"/>
  <c r="W79" i="5"/>
  <c r="BL25" i="5"/>
  <c r="BJ25" i="5" s="1"/>
  <c r="BM96" i="5"/>
  <c r="V79" i="5"/>
  <c r="T79" i="5" s="1"/>
  <c r="V30" i="5"/>
  <c r="T30" i="5" s="1"/>
  <c r="U109" i="5"/>
  <c r="W110" i="5"/>
  <c r="U29" i="5"/>
  <c r="AP61" i="5"/>
  <c r="BL96" i="5"/>
  <c r="BJ96" i="5" s="1"/>
  <c r="AQ61" i="5"/>
  <c r="AO91" i="5"/>
  <c r="W109" i="5"/>
  <c r="W76" i="5"/>
  <c r="AR100" i="5"/>
  <c r="V76" i="5"/>
  <c r="T76" i="5" s="1"/>
  <c r="BM27" i="5"/>
  <c r="V87" i="5"/>
  <c r="T87" i="5" s="1"/>
  <c r="BM28" i="5"/>
  <c r="BM84" i="5"/>
  <c r="AQ100" i="5"/>
  <c r="AO100" i="5" s="1"/>
  <c r="BK27" i="5"/>
  <c r="BL27" i="5"/>
  <c r="BM116" i="5"/>
  <c r="BJ116" i="5"/>
  <c r="V67" i="5"/>
  <c r="T67" i="5" s="1"/>
  <c r="V106" i="5"/>
  <c r="T106" i="5" s="1"/>
  <c r="V26" i="5"/>
  <c r="T26" i="5" s="1"/>
  <c r="V104" i="5"/>
  <c r="T104" i="5" s="1"/>
  <c r="BK44" i="5"/>
  <c r="BM105" i="5"/>
  <c r="BJ97" i="5"/>
  <c r="W26" i="5"/>
  <c r="BL105" i="5"/>
  <c r="BJ105" i="5" s="1"/>
  <c r="W29" i="5"/>
  <c r="BL34" i="5"/>
  <c r="BJ34" i="5" s="1"/>
  <c r="AR63" i="5"/>
  <c r="AR84" i="5"/>
  <c r="AR57" i="5"/>
  <c r="AR118" i="5"/>
  <c r="W100" i="5"/>
  <c r="V53" i="5"/>
  <c r="AP29" i="5"/>
  <c r="AQ102" i="5"/>
  <c r="V100" i="5"/>
  <c r="T100" i="5" s="1"/>
  <c r="W75" i="5"/>
  <c r="W63" i="5"/>
  <c r="AQ54" i="5"/>
  <c r="V45" i="5"/>
  <c r="AP58" i="5"/>
  <c r="AR74" i="5"/>
  <c r="BM99" i="5"/>
  <c r="W106" i="5"/>
  <c r="AP109" i="5"/>
  <c r="AO57" i="5"/>
  <c r="W31" i="5"/>
  <c r="W93" i="5"/>
  <c r="AP54" i="5"/>
  <c r="AP102" i="5"/>
  <c r="AP95" i="5"/>
  <c r="AP103" i="5"/>
  <c r="AP66" i="5"/>
  <c r="AR83" i="5"/>
  <c r="AP71" i="5"/>
  <c r="BL99" i="5"/>
  <c r="BJ99" i="5" s="1"/>
  <c r="BM92" i="5"/>
  <c r="BL92" i="5"/>
  <c r="BJ92" i="5" s="1"/>
  <c r="W50" i="5"/>
  <c r="W45" i="5"/>
  <c r="AP28" i="5"/>
  <c r="AP73" i="5"/>
  <c r="BM44" i="5"/>
  <c r="BM89" i="5"/>
  <c r="AP79" i="5"/>
  <c r="AP98" i="5"/>
  <c r="AP89" i="5"/>
  <c r="AO77" i="5"/>
  <c r="BM66" i="5"/>
  <c r="BL66" i="5"/>
  <c r="BJ66" i="5" s="1"/>
  <c r="W83" i="5"/>
  <c r="AR122" i="5"/>
  <c r="W25" i="5"/>
  <c r="V34" i="5"/>
  <c r="AQ79" i="5"/>
  <c r="AP83" i="5"/>
  <c r="AQ28" i="5"/>
  <c r="BL67" i="5"/>
  <c r="BJ67" i="5" s="1"/>
  <c r="BL28" i="5"/>
  <c r="BJ28" i="5" s="1"/>
  <c r="U53" i="5"/>
  <c r="U111" i="5"/>
  <c r="W111" i="5"/>
  <c r="U25" i="5"/>
  <c r="V24" i="5"/>
  <c r="W34" i="5"/>
  <c r="AQ71" i="5"/>
  <c r="U45" i="5"/>
  <c r="V95" i="5"/>
  <c r="T95" i="5" s="1"/>
  <c r="V36" i="5"/>
  <c r="T36" i="5" s="1"/>
  <c r="W80" i="5"/>
  <c r="W36" i="5"/>
  <c r="AQ103" i="5"/>
  <c r="W91" i="5"/>
  <c r="V25" i="5"/>
  <c r="AR89" i="5"/>
  <c r="W67" i="5"/>
  <c r="W86" i="5"/>
  <c r="AR73" i="5"/>
  <c r="W72" i="5"/>
  <c r="V102" i="5"/>
  <c r="T102" i="5" s="1"/>
  <c r="V72" i="5"/>
  <c r="T72" i="5" s="1"/>
  <c r="V111" i="5"/>
  <c r="W90" i="5"/>
  <c r="U101" i="5"/>
  <c r="AQ89" i="5"/>
  <c r="V80" i="5"/>
  <c r="AQ98" i="5"/>
  <c r="AQ73" i="5"/>
  <c r="U63" i="5"/>
  <c r="AR79" i="5"/>
  <c r="V78" i="5"/>
  <c r="BM67" i="5"/>
  <c r="W102" i="5"/>
  <c r="BE16" i="5"/>
  <c r="V101" i="5"/>
  <c r="AQ83" i="5"/>
  <c r="AO83" i="5" s="1"/>
  <c r="U80" i="5"/>
  <c r="AR103" i="5"/>
  <c r="W101" i="5"/>
  <c r="W33" i="5"/>
  <c r="BM34" i="5"/>
  <c r="AR98" i="5"/>
  <c r="AQ99" i="5"/>
  <c r="AO99" i="5" s="1"/>
  <c r="W62" i="5"/>
  <c r="W116" i="5"/>
  <c r="AR68" i="5"/>
  <c r="W82" i="5"/>
  <c r="W66" i="5"/>
  <c r="AQ95" i="5"/>
  <c r="AP68" i="5"/>
  <c r="AQ29" i="5"/>
  <c r="AR95" i="5"/>
  <c r="AR71" i="5"/>
  <c r="AQ74" i="5"/>
  <c r="W53" i="5"/>
  <c r="V82" i="5"/>
  <c r="T82" i="5" s="1"/>
  <c r="W78" i="5"/>
  <c r="BM100" i="5"/>
  <c r="U78" i="5"/>
  <c r="AQ58" i="5"/>
  <c r="W105" i="5"/>
  <c r="AR29" i="5"/>
  <c r="AP74" i="5"/>
  <c r="W81" i="5"/>
  <c r="BL100" i="5"/>
  <c r="BJ100" i="5" s="1"/>
  <c r="W58" i="5"/>
  <c r="W115" i="5"/>
  <c r="AR66" i="5"/>
  <c r="AQ109" i="5"/>
  <c r="W95" i="5"/>
  <c r="AR109" i="5"/>
  <c r="AQ66" i="5"/>
  <c r="BK106" i="5"/>
  <c r="BL106" i="5"/>
  <c r="BM106" i="5"/>
  <c r="BK111" i="5"/>
  <c r="BL111" i="5"/>
  <c r="BM111" i="5"/>
  <c r="BK72" i="5"/>
  <c r="BL72" i="5"/>
  <c r="BM72" i="5"/>
  <c r="BK73" i="5"/>
  <c r="BL73" i="5"/>
  <c r="BM73" i="5"/>
  <c r="BM59" i="5"/>
  <c r="BK59" i="5"/>
  <c r="BL59" i="5"/>
  <c r="BM118" i="5"/>
  <c r="BL118" i="5"/>
  <c r="BK118" i="5"/>
  <c r="BK40" i="5"/>
  <c r="BL40" i="5"/>
  <c r="BM40" i="5"/>
  <c r="BK90" i="5"/>
  <c r="BM90" i="5"/>
  <c r="BL90" i="5"/>
  <c r="BK82" i="5"/>
  <c r="BL82" i="5"/>
  <c r="BM82" i="5"/>
  <c r="BK93" i="5"/>
  <c r="BL93" i="5"/>
  <c r="BM93" i="5"/>
  <c r="BM35" i="5"/>
  <c r="BK35" i="5"/>
  <c r="BL35" i="5"/>
  <c r="BK39" i="5"/>
  <c r="BL39" i="5"/>
  <c r="BM39" i="5"/>
  <c r="BK79" i="5"/>
  <c r="BL79" i="5"/>
  <c r="BM79" i="5"/>
  <c r="BK52" i="5"/>
  <c r="BL52" i="5"/>
  <c r="BM52" i="5"/>
  <c r="BK55" i="5"/>
  <c r="BL55" i="5"/>
  <c r="BM55" i="5"/>
  <c r="BK71" i="5"/>
  <c r="BL71" i="5"/>
  <c r="BM71" i="5"/>
  <c r="BK114" i="5"/>
  <c r="BM114" i="5"/>
  <c r="BL114" i="5"/>
  <c r="BL37" i="5"/>
  <c r="BM37" i="5"/>
  <c r="BK37" i="5"/>
  <c r="BK88" i="5"/>
  <c r="BL88" i="5"/>
  <c r="BM88" i="5"/>
  <c r="BK120" i="5"/>
  <c r="BL120" i="5"/>
  <c r="BM120" i="5"/>
  <c r="BM109" i="5"/>
  <c r="BK109" i="5"/>
  <c r="BL109" i="5"/>
  <c r="BK41" i="5"/>
  <c r="BL41" i="5"/>
  <c r="BM41" i="5"/>
  <c r="BM110" i="5"/>
  <c r="BK110" i="5"/>
  <c r="BL110" i="5"/>
  <c r="BK112" i="5"/>
  <c r="BL112" i="5"/>
  <c r="BM112" i="5"/>
  <c r="BK77" i="5"/>
  <c r="BL77" i="5"/>
  <c r="BM77" i="5"/>
  <c r="BL70" i="5"/>
  <c r="BM70" i="5"/>
  <c r="BK70" i="5"/>
  <c r="BL54" i="5"/>
  <c r="BM54" i="5"/>
  <c r="BK54" i="5"/>
  <c r="BK32" i="5"/>
  <c r="BL32" i="5"/>
  <c r="BM32" i="5"/>
  <c r="BK68" i="5"/>
  <c r="BL68" i="5"/>
  <c r="BM68" i="5"/>
  <c r="BL69" i="5"/>
  <c r="BM69" i="5"/>
  <c r="BK69" i="5"/>
  <c r="BL78" i="5"/>
  <c r="BM78" i="5"/>
  <c r="BK78" i="5"/>
  <c r="BL30" i="5"/>
  <c r="BM30" i="5"/>
  <c r="BK30" i="5"/>
  <c r="W112" i="5"/>
  <c r="BK45" i="5"/>
  <c r="BL45" i="5"/>
  <c r="BM45" i="5"/>
  <c r="BK74" i="5"/>
  <c r="BM74" i="5"/>
  <c r="BL74" i="5"/>
  <c r="BK26" i="5"/>
  <c r="BM26" i="5"/>
  <c r="BL26" i="5"/>
  <c r="BK56" i="5"/>
  <c r="BL56" i="5"/>
  <c r="BM56" i="5"/>
  <c r="BK87" i="5"/>
  <c r="BL87" i="5"/>
  <c r="BM87" i="5"/>
  <c r="BL94" i="5"/>
  <c r="BM94" i="5"/>
  <c r="BK94" i="5"/>
  <c r="BL46" i="5"/>
  <c r="BM46" i="5"/>
  <c r="BK46" i="5"/>
  <c r="BK103" i="5"/>
  <c r="BL103" i="5"/>
  <c r="BM103" i="5"/>
  <c r="BK115" i="5"/>
  <c r="BL115" i="5"/>
  <c r="BM115" i="5"/>
  <c r="BK31" i="5"/>
  <c r="BL31" i="5"/>
  <c r="BM31" i="5"/>
  <c r="BK60" i="5"/>
  <c r="BL60" i="5"/>
  <c r="BM60" i="5"/>
  <c r="BK104" i="5"/>
  <c r="BL104" i="5"/>
  <c r="BM104" i="5"/>
  <c r="BK61" i="5"/>
  <c r="BL61" i="5"/>
  <c r="BM61" i="5"/>
  <c r="BK42" i="5"/>
  <c r="BM42" i="5"/>
  <c r="BL42" i="5"/>
  <c r="BL101" i="5"/>
  <c r="BM101" i="5"/>
  <c r="BK101" i="5"/>
  <c r="BK119" i="5"/>
  <c r="BL119" i="5"/>
  <c r="BM119" i="5"/>
  <c r="BK36" i="5"/>
  <c r="BL36" i="5"/>
  <c r="BM36" i="5"/>
  <c r="BK57" i="5"/>
  <c r="BL57" i="5"/>
  <c r="BM57" i="5"/>
  <c r="BK48" i="5"/>
  <c r="BL48" i="5"/>
  <c r="BM48" i="5"/>
  <c r="BL86" i="5"/>
  <c r="BM86" i="5"/>
  <c r="BK86" i="5"/>
  <c r="BK63" i="5"/>
  <c r="BL63" i="5"/>
  <c r="BM63" i="5"/>
  <c r="BK76" i="5"/>
  <c r="BL76" i="5"/>
  <c r="BM76" i="5"/>
  <c r="W41" i="5"/>
  <c r="W89" i="5"/>
  <c r="W49" i="5"/>
  <c r="BL38" i="5"/>
  <c r="BM38" i="5"/>
  <c r="BK38" i="5"/>
  <c r="BM51" i="5"/>
  <c r="BK51" i="5"/>
  <c r="BL51" i="5"/>
  <c r="BK98" i="5"/>
  <c r="BL98" i="5"/>
  <c r="BM98" i="5"/>
  <c r="BK108" i="5"/>
  <c r="BL108" i="5"/>
  <c r="BM108" i="5"/>
  <c r="BK58" i="5"/>
  <c r="BM58" i="5"/>
  <c r="BL58" i="5"/>
  <c r="BL85" i="5"/>
  <c r="BM85" i="5"/>
  <c r="BK85" i="5"/>
  <c r="BK123" i="5"/>
  <c r="BL123" i="5"/>
  <c r="BM123" i="5"/>
  <c r="BK64" i="5"/>
  <c r="BL64" i="5"/>
  <c r="BM64" i="5"/>
  <c r="BL62" i="5"/>
  <c r="BM62" i="5"/>
  <c r="BK62" i="5"/>
  <c r="BM43" i="5"/>
  <c r="BK43" i="5"/>
  <c r="BL43" i="5"/>
  <c r="BL113" i="5"/>
  <c r="BM113" i="5"/>
  <c r="BK113" i="5"/>
  <c r="BM75" i="5"/>
  <c r="BK75" i="5"/>
  <c r="BL75" i="5"/>
  <c r="BK117" i="5"/>
  <c r="BL117" i="5"/>
  <c r="BM117" i="5"/>
  <c r="BK95" i="5"/>
  <c r="BL95" i="5"/>
  <c r="BM95" i="5"/>
  <c r="BL53" i="5"/>
  <c r="BM53" i="5"/>
  <c r="BK53" i="5"/>
  <c r="BK81" i="5"/>
  <c r="BL81" i="5"/>
  <c r="BM81" i="5"/>
  <c r="BL102" i="5"/>
  <c r="BM102" i="5"/>
  <c r="BK102" i="5"/>
  <c r="BK29" i="5"/>
  <c r="BL29" i="5"/>
  <c r="BM29" i="5"/>
  <c r="W70" i="5"/>
  <c r="W96" i="5"/>
  <c r="AJ16" i="5"/>
  <c r="W113" i="5"/>
  <c r="W118" i="5"/>
  <c r="W38" i="5"/>
  <c r="W117" i="5"/>
  <c r="W88" i="5"/>
  <c r="W107" i="5"/>
  <c r="W37" i="5"/>
  <c r="U34" i="5"/>
  <c r="W32" i="5"/>
  <c r="W92" i="5"/>
  <c r="AQ25" i="5"/>
  <c r="AR25" i="5"/>
  <c r="AP25" i="5"/>
  <c r="U99" i="5"/>
  <c r="V99" i="5"/>
  <c r="U59" i="5"/>
  <c r="V59" i="5"/>
  <c r="AR30" i="5"/>
  <c r="AP30" i="5"/>
  <c r="AQ30" i="5"/>
  <c r="W43" i="5"/>
  <c r="AP87" i="5"/>
  <c r="AQ87" i="5"/>
  <c r="AR87" i="5"/>
  <c r="V61" i="5"/>
  <c r="U61" i="5"/>
  <c r="V32" i="5"/>
  <c r="U32" i="5"/>
  <c r="V71" i="5"/>
  <c r="U71" i="5"/>
  <c r="AP62" i="5"/>
  <c r="AQ62" i="5"/>
  <c r="AR62" i="5"/>
  <c r="AQ101" i="5"/>
  <c r="AR101" i="5"/>
  <c r="AP101" i="5"/>
  <c r="AQ51" i="5"/>
  <c r="AP51" i="5"/>
  <c r="AR51" i="5"/>
  <c r="U68" i="5"/>
  <c r="V68" i="5"/>
  <c r="V96" i="5"/>
  <c r="U96" i="5"/>
  <c r="AP39" i="5"/>
  <c r="AQ39" i="5"/>
  <c r="AR39" i="5"/>
  <c r="AP50" i="5"/>
  <c r="AQ50" i="5"/>
  <c r="AR50" i="5"/>
  <c r="W119" i="5"/>
  <c r="U112" i="5"/>
  <c r="V112" i="5"/>
  <c r="V58" i="5"/>
  <c r="U58" i="5"/>
  <c r="U83" i="5"/>
  <c r="V83" i="5"/>
  <c r="AQ49" i="5"/>
  <c r="AR49" i="5"/>
  <c r="AP49" i="5"/>
  <c r="V120" i="5"/>
  <c r="U120" i="5"/>
  <c r="AR82" i="5"/>
  <c r="AP82" i="5"/>
  <c r="AQ82" i="5"/>
  <c r="AQ43" i="5"/>
  <c r="AP43" i="5"/>
  <c r="AR43" i="5"/>
  <c r="W56" i="5"/>
  <c r="AR64" i="5"/>
  <c r="AP64" i="5"/>
  <c r="AQ64" i="5"/>
  <c r="W55" i="5"/>
  <c r="AR90" i="5"/>
  <c r="AP90" i="5"/>
  <c r="AQ90" i="5"/>
  <c r="AP116" i="5"/>
  <c r="AQ116" i="5"/>
  <c r="AR116" i="5"/>
  <c r="V62" i="5"/>
  <c r="U62" i="5"/>
  <c r="V77" i="5"/>
  <c r="U77" i="5"/>
  <c r="V117" i="5"/>
  <c r="U117" i="5"/>
  <c r="AP32" i="5"/>
  <c r="AR32" i="5"/>
  <c r="AQ32" i="5"/>
  <c r="W28" i="5"/>
  <c r="V33" i="5"/>
  <c r="U33" i="5"/>
  <c r="AR120" i="5"/>
  <c r="AP120" i="5"/>
  <c r="AQ120" i="5"/>
  <c r="V86" i="5"/>
  <c r="U86" i="5"/>
  <c r="W85" i="5"/>
  <c r="V49" i="5"/>
  <c r="U49" i="5"/>
  <c r="AJ14" i="5"/>
  <c r="V97" i="5"/>
  <c r="U97" i="5"/>
  <c r="W42" i="5"/>
  <c r="AP42" i="5"/>
  <c r="AQ42" i="5"/>
  <c r="AR42" i="5"/>
  <c r="AR72" i="5"/>
  <c r="AP72" i="5"/>
  <c r="AQ72" i="5"/>
  <c r="AP113" i="5"/>
  <c r="AQ113" i="5"/>
  <c r="AR113" i="5"/>
  <c r="U40" i="5"/>
  <c r="V40" i="5"/>
  <c r="W97" i="5"/>
  <c r="AP37" i="5"/>
  <c r="AQ37" i="5"/>
  <c r="AR37" i="5"/>
  <c r="AQ117" i="5"/>
  <c r="AR117" i="5"/>
  <c r="AP117" i="5"/>
  <c r="V98" i="5"/>
  <c r="U98" i="5"/>
  <c r="AQ41" i="5"/>
  <c r="AR41" i="5"/>
  <c r="AP41" i="5"/>
  <c r="U50" i="5"/>
  <c r="V50" i="5"/>
  <c r="W120" i="5"/>
  <c r="AQ85" i="5"/>
  <c r="AR85" i="5"/>
  <c r="AP85" i="5"/>
  <c r="AR80" i="5"/>
  <c r="AP80" i="5"/>
  <c r="AQ80" i="5"/>
  <c r="AP34" i="5"/>
  <c r="AQ34" i="5"/>
  <c r="AR34" i="5"/>
  <c r="U64" i="5"/>
  <c r="V64" i="5"/>
  <c r="AR112" i="5"/>
  <c r="AP112" i="5"/>
  <c r="AQ112" i="5"/>
  <c r="W74" i="5"/>
  <c r="AP65" i="5"/>
  <c r="AQ65" i="5"/>
  <c r="AR65" i="5"/>
  <c r="AP45" i="5"/>
  <c r="AQ45" i="5"/>
  <c r="AR45" i="5"/>
  <c r="U42" i="5"/>
  <c r="V42" i="5"/>
  <c r="AP121" i="5"/>
  <c r="AQ121" i="5"/>
  <c r="AR121" i="5"/>
  <c r="AP70" i="5"/>
  <c r="AQ70" i="5"/>
  <c r="AR70" i="5"/>
  <c r="U43" i="5"/>
  <c r="V43" i="5"/>
  <c r="AQ93" i="5"/>
  <c r="AR93" i="5"/>
  <c r="AP93" i="5"/>
  <c r="U28" i="5"/>
  <c r="V28" i="5"/>
  <c r="W121" i="5"/>
  <c r="AQ123" i="5"/>
  <c r="AR123" i="5"/>
  <c r="AP123" i="5"/>
  <c r="V74" i="5"/>
  <c r="U74" i="5"/>
  <c r="U48" i="5"/>
  <c r="V48" i="5"/>
  <c r="AP56" i="5"/>
  <c r="AR56" i="5"/>
  <c r="AQ56" i="5"/>
  <c r="AR46" i="5"/>
  <c r="AP46" i="5"/>
  <c r="AQ46" i="5"/>
  <c r="W73" i="5"/>
  <c r="V31" i="5"/>
  <c r="U31" i="5"/>
  <c r="AP31" i="5"/>
  <c r="AQ31" i="5"/>
  <c r="AR31" i="5"/>
  <c r="V93" i="5"/>
  <c r="U93" i="5"/>
  <c r="W98" i="5"/>
  <c r="V41" i="5"/>
  <c r="U41" i="5"/>
  <c r="AR38" i="5"/>
  <c r="AP38" i="5"/>
  <c r="AQ38" i="5"/>
  <c r="V46" i="5"/>
  <c r="U46" i="5"/>
  <c r="U90" i="5"/>
  <c r="V90" i="5"/>
  <c r="W108" i="5"/>
  <c r="W69" i="5"/>
  <c r="W51" i="5"/>
  <c r="AQ59" i="5"/>
  <c r="AP59" i="5"/>
  <c r="AR59" i="5"/>
  <c r="W94" i="5"/>
  <c r="U66" i="5"/>
  <c r="V66" i="5"/>
  <c r="AP110" i="5"/>
  <c r="AQ110" i="5"/>
  <c r="AR110" i="5"/>
  <c r="V89" i="5"/>
  <c r="U89" i="5"/>
  <c r="AP36" i="5"/>
  <c r="AQ36" i="5"/>
  <c r="AR36" i="5"/>
  <c r="W64" i="5"/>
  <c r="V81" i="5"/>
  <c r="U81" i="5"/>
  <c r="W48" i="5"/>
  <c r="W46" i="5"/>
  <c r="BM24" i="5"/>
  <c r="BL24" i="5"/>
  <c r="BJ24" i="5" s="1"/>
  <c r="BE14" i="5"/>
  <c r="AP52" i="5"/>
  <c r="AQ52" i="5"/>
  <c r="AR52" i="5"/>
  <c r="V121" i="5"/>
  <c r="U121" i="5"/>
  <c r="AP40" i="5"/>
  <c r="AR40" i="5"/>
  <c r="AQ40" i="5"/>
  <c r="V73" i="5"/>
  <c r="U73" i="5"/>
  <c r="AP86" i="5"/>
  <c r="AQ86" i="5"/>
  <c r="AR86" i="5"/>
  <c r="V55" i="5"/>
  <c r="U55" i="5"/>
  <c r="AP97" i="5"/>
  <c r="AQ97" i="5"/>
  <c r="AR97" i="5"/>
  <c r="U116" i="5"/>
  <c r="V116" i="5"/>
  <c r="W40" i="5"/>
  <c r="W27" i="5"/>
  <c r="AP78" i="5"/>
  <c r="AQ78" i="5"/>
  <c r="AR78" i="5"/>
  <c r="V118" i="5"/>
  <c r="U118" i="5"/>
  <c r="W99" i="5"/>
  <c r="AQ27" i="5"/>
  <c r="AP27" i="5"/>
  <c r="AR27" i="5"/>
  <c r="W59" i="5"/>
  <c r="U108" i="5"/>
  <c r="V108" i="5"/>
  <c r="AP53" i="5"/>
  <c r="AQ53" i="5"/>
  <c r="AR53" i="5"/>
  <c r="U91" i="5"/>
  <c r="V91" i="5"/>
  <c r="W61" i="5"/>
  <c r="V65" i="5"/>
  <c r="U65" i="5"/>
  <c r="U115" i="5"/>
  <c r="V115" i="5"/>
  <c r="AP92" i="5"/>
  <c r="AQ92" i="5"/>
  <c r="AR92" i="5"/>
  <c r="V38" i="5"/>
  <c r="U38" i="5"/>
  <c r="W71" i="5"/>
  <c r="AQ35" i="5"/>
  <c r="AP35" i="5"/>
  <c r="AR35" i="5"/>
  <c r="U24" i="5"/>
  <c r="W24" i="5"/>
  <c r="AQ69" i="5"/>
  <c r="AR69" i="5"/>
  <c r="AP69" i="5"/>
  <c r="AP48" i="5"/>
  <c r="AR48" i="5"/>
  <c r="AQ48" i="5"/>
  <c r="AQ115" i="5"/>
  <c r="AR115" i="5"/>
  <c r="AP115" i="5"/>
  <c r="AP81" i="5"/>
  <c r="AQ81" i="5"/>
  <c r="AR81" i="5"/>
  <c r="V57" i="5"/>
  <c r="U57" i="5"/>
  <c r="U107" i="5"/>
  <c r="V107" i="5"/>
  <c r="U92" i="5"/>
  <c r="V92" i="5"/>
  <c r="W65" i="5"/>
  <c r="U27" i="5"/>
  <c r="V27" i="5"/>
  <c r="AQ33" i="5"/>
  <c r="AR33" i="5"/>
  <c r="AP33" i="5"/>
  <c r="V119" i="5"/>
  <c r="U119" i="5"/>
  <c r="V94" i="5"/>
  <c r="U94" i="5"/>
  <c r="AP111" i="5"/>
  <c r="AQ111" i="5"/>
  <c r="AR111" i="5"/>
  <c r="V85" i="5"/>
  <c r="U85" i="5"/>
  <c r="AR96" i="5"/>
  <c r="AP96" i="5"/>
  <c r="AQ96" i="5"/>
  <c r="AQ67" i="5"/>
  <c r="AR67" i="5"/>
  <c r="AP67" i="5"/>
  <c r="AP105" i="5"/>
  <c r="AQ105" i="5"/>
  <c r="AR105" i="5"/>
  <c r="V105" i="5"/>
  <c r="U105" i="5"/>
  <c r="V69" i="5"/>
  <c r="U69" i="5"/>
  <c r="U51" i="5"/>
  <c r="V51" i="5"/>
  <c r="V56" i="5"/>
  <c r="U56" i="5"/>
  <c r="AP47" i="5"/>
  <c r="AQ47" i="5"/>
  <c r="AR47" i="5"/>
  <c r="V47" i="5"/>
  <c r="U47" i="5"/>
  <c r="AR88" i="5"/>
  <c r="AP88" i="5"/>
  <c r="AQ88" i="5"/>
  <c r="AR104" i="5"/>
  <c r="AP104" i="5"/>
  <c r="AQ104" i="5"/>
  <c r="W77" i="5"/>
  <c r="AR106" i="5"/>
  <c r="AP106" i="5"/>
  <c r="AQ106" i="5"/>
  <c r="V113" i="5"/>
  <c r="U113" i="5"/>
  <c r="V70" i="5"/>
  <c r="U70" i="5"/>
  <c r="W57" i="5"/>
  <c r="AP55" i="5"/>
  <c r="AQ55" i="5"/>
  <c r="AR55" i="5"/>
  <c r="AP119" i="5"/>
  <c r="AQ119" i="5"/>
  <c r="AR119" i="5"/>
  <c r="W68" i="5"/>
  <c r="U88" i="5"/>
  <c r="V88" i="5"/>
  <c r="V37" i="5"/>
  <c r="U37" i="5"/>
  <c r="W39" i="5"/>
  <c r="V39" i="5"/>
  <c r="U39" i="5"/>
  <c r="W47" i="5"/>
  <c r="F3" i="1"/>
  <c r="F10" i="1" s="1"/>
  <c r="AZ4" i="1"/>
  <c r="AZ11" i="1" s="1"/>
  <c r="AZ21" i="1" s="1"/>
  <c r="AZ6" i="1"/>
  <c r="AZ13" i="1" s="1"/>
  <c r="AZ23" i="1" s="1"/>
  <c r="AY6" i="1"/>
  <c r="AY13" i="1" s="1"/>
  <c r="AY23" i="1" s="1"/>
  <c r="AY4" i="1"/>
  <c r="AY11" i="1" s="1"/>
  <c r="AY21" i="1" s="1"/>
  <c r="BA7" i="1"/>
  <c r="BA14" i="1" s="1"/>
  <c r="BA24" i="1" s="1"/>
  <c r="BA5" i="1"/>
  <c r="BA12" i="1" s="1"/>
  <c r="BA22" i="1" s="1"/>
  <c r="AY7" i="1"/>
  <c r="AY14" i="1" s="1"/>
  <c r="AY24" i="1" s="1"/>
  <c r="AY5" i="1"/>
  <c r="AY12" i="1" s="1"/>
  <c r="AY22" i="1" s="1"/>
  <c r="AZ7" i="1"/>
  <c r="AZ14" i="1" s="1"/>
  <c r="AZ24" i="1" s="1"/>
  <c r="AZ5" i="1"/>
  <c r="AZ12" i="1" s="1"/>
  <c r="AZ22" i="1" s="1"/>
  <c r="AX4" i="1"/>
  <c r="AX6" i="1"/>
  <c r="AX13" i="1" s="1"/>
  <c r="AX23" i="1" s="1"/>
  <c r="AX5" i="1"/>
  <c r="AX12" i="1" s="1"/>
  <c r="AX22" i="1" s="1"/>
  <c r="AX7" i="1"/>
  <c r="AX14" i="1" s="1"/>
  <c r="AX24" i="1" s="1"/>
  <c r="BA4" i="1"/>
  <c r="BA11" i="1" s="1"/>
  <c r="BA21" i="1" s="1"/>
  <c r="BA6" i="1"/>
  <c r="BA13" i="1" s="1"/>
  <c r="BA23" i="1" s="1"/>
  <c r="A29" i="1"/>
  <c r="B28" i="1"/>
  <c r="C28" i="1"/>
  <c r="B16" i="1"/>
  <c r="AO24" i="5" l="1"/>
  <c r="AJ18" i="5"/>
  <c r="AJ15" i="5" s="1"/>
  <c r="T29" i="5"/>
  <c r="AX11" i="1"/>
  <c r="AX21" i="1" s="1"/>
  <c r="BJ36" i="5"/>
  <c r="BJ115" i="5"/>
  <c r="BJ45" i="5"/>
  <c r="BJ42" i="5"/>
  <c r="T103" i="5"/>
  <c r="AO68" i="5"/>
  <c r="T63" i="5"/>
  <c r="BJ44" i="5"/>
  <c r="BJ89" i="5"/>
  <c r="AO103" i="5"/>
  <c r="AO61" i="5"/>
  <c r="T109" i="5"/>
  <c r="BJ32" i="5"/>
  <c r="BJ29" i="5"/>
  <c r="BJ86" i="5"/>
  <c r="BJ78" i="5"/>
  <c r="BJ90" i="5"/>
  <c r="AO52" i="5"/>
  <c r="AO110" i="5"/>
  <c r="BJ95" i="5"/>
  <c r="BJ63" i="5"/>
  <c r="BJ61" i="5"/>
  <c r="BJ87" i="5"/>
  <c r="BJ112" i="5"/>
  <c r="BJ109" i="5"/>
  <c r="BJ71" i="5"/>
  <c r="BJ117" i="5"/>
  <c r="BJ43" i="5"/>
  <c r="BJ51" i="5"/>
  <c r="BJ74" i="5"/>
  <c r="BJ98" i="5"/>
  <c r="BJ31" i="5"/>
  <c r="BJ79" i="5"/>
  <c r="BJ26" i="5"/>
  <c r="T34" i="5"/>
  <c r="BJ108" i="5"/>
  <c r="BJ48" i="5"/>
  <c r="BJ60" i="5"/>
  <c r="BJ41" i="5"/>
  <c r="BJ52" i="5"/>
  <c r="BJ35" i="5"/>
  <c r="BJ118" i="5"/>
  <c r="AO79" i="5"/>
  <c r="T71" i="5"/>
  <c r="BJ59" i="5"/>
  <c r="BJ30" i="5"/>
  <c r="BJ101" i="5"/>
  <c r="BJ46" i="5"/>
  <c r="BJ70" i="5"/>
  <c r="BJ37" i="5"/>
  <c r="CA39" i="5"/>
  <c r="AO102" i="5"/>
  <c r="BJ120" i="5"/>
  <c r="BJ114" i="5"/>
  <c r="BJ39" i="5"/>
  <c r="BJ73" i="5"/>
  <c r="BJ27" i="5"/>
  <c r="AO48" i="5"/>
  <c r="AO85" i="5"/>
  <c r="BJ75" i="5"/>
  <c r="BJ123" i="5"/>
  <c r="BJ76" i="5"/>
  <c r="BJ77" i="5"/>
  <c r="BJ82" i="5"/>
  <c r="BJ106" i="5"/>
  <c r="BJ53" i="5"/>
  <c r="BJ119" i="5"/>
  <c r="BJ103" i="5"/>
  <c r="BJ69" i="5"/>
  <c r="BJ88" i="5"/>
  <c r="BJ72" i="5"/>
  <c r="T38" i="5"/>
  <c r="T58" i="5"/>
  <c r="AO51" i="5"/>
  <c r="BJ102" i="5"/>
  <c r="BJ62" i="5"/>
  <c r="BJ38" i="5"/>
  <c r="BJ54" i="5"/>
  <c r="BJ94" i="5"/>
  <c r="BJ85" i="5"/>
  <c r="BJ57" i="5"/>
  <c r="BJ68" i="5"/>
  <c r="T55" i="5"/>
  <c r="BJ81" i="5"/>
  <c r="BJ113" i="5"/>
  <c r="BJ64" i="5"/>
  <c r="BJ58" i="5"/>
  <c r="BJ110" i="5"/>
  <c r="BJ93" i="5"/>
  <c r="BJ111" i="5"/>
  <c r="BJ104" i="5"/>
  <c r="BJ56" i="5"/>
  <c r="BJ55" i="5"/>
  <c r="BJ40" i="5"/>
  <c r="AO69" i="5"/>
  <c r="AO86" i="5"/>
  <c r="T73" i="5"/>
  <c r="T53" i="5"/>
  <c r="T88" i="5"/>
  <c r="T66" i="5"/>
  <c r="AO120" i="5"/>
  <c r="AO116" i="5"/>
  <c r="AO39" i="5"/>
  <c r="AO40" i="5"/>
  <c r="AO70" i="5"/>
  <c r="AO78" i="5"/>
  <c r="AO47" i="5"/>
  <c r="AO96" i="5"/>
  <c r="AO46" i="5"/>
  <c r="AO34" i="5"/>
  <c r="AO82" i="5"/>
  <c r="AO55" i="5"/>
  <c r="AO33" i="5"/>
  <c r="AO56" i="5"/>
  <c r="AO80" i="5"/>
  <c r="AO113" i="5"/>
  <c r="AO32" i="5"/>
  <c r="AO66" i="5"/>
  <c r="AO42" i="5"/>
  <c r="AO38" i="5"/>
  <c r="AO62" i="5"/>
  <c r="T25" i="5"/>
  <c r="AO50" i="5"/>
  <c r="AO31" i="5"/>
  <c r="AO93" i="5"/>
  <c r="AO109" i="5"/>
  <c r="AO88" i="5"/>
  <c r="T113" i="5"/>
  <c r="T94" i="5"/>
  <c r="AO35" i="5"/>
  <c r="AO59" i="5"/>
  <c r="AO36" i="5"/>
  <c r="AO45" i="5"/>
  <c r="AO37" i="5"/>
  <c r="AO72" i="5"/>
  <c r="AO49" i="5"/>
  <c r="T112" i="5"/>
  <c r="AO30" i="5"/>
  <c r="AO28" i="5"/>
  <c r="AO54" i="5"/>
  <c r="AO29" i="5"/>
  <c r="T39" i="5"/>
  <c r="AO104" i="5"/>
  <c r="T105" i="5"/>
  <c r="AO111" i="5"/>
  <c r="AO92" i="5"/>
  <c r="AO27" i="5"/>
  <c r="T46" i="5"/>
  <c r="T98" i="5"/>
  <c r="T77" i="5"/>
  <c r="AO90" i="5"/>
  <c r="AO43" i="5"/>
  <c r="AO101" i="5"/>
  <c r="T78" i="5"/>
  <c r="AO73" i="5"/>
  <c r="AO98" i="5"/>
  <c r="AO119" i="5"/>
  <c r="AO81" i="5"/>
  <c r="AO53" i="5"/>
  <c r="AO123" i="5"/>
  <c r="AO121" i="5"/>
  <c r="AO65" i="5"/>
  <c r="AO117" i="5"/>
  <c r="AO89" i="5"/>
  <c r="AO71" i="5"/>
  <c r="AO106" i="5"/>
  <c r="AO105" i="5"/>
  <c r="AO115" i="5"/>
  <c r="AO64" i="5"/>
  <c r="AO87" i="5"/>
  <c r="AO74" i="5"/>
  <c r="AO58" i="5"/>
  <c r="AO67" i="5"/>
  <c r="AO97" i="5"/>
  <c r="AO112" i="5"/>
  <c r="AO41" i="5"/>
  <c r="AO25" i="5"/>
  <c r="AO95" i="5"/>
  <c r="T86" i="5"/>
  <c r="T83" i="5"/>
  <c r="T37" i="5"/>
  <c r="T45" i="5"/>
  <c r="T27" i="5"/>
  <c r="T69" i="5"/>
  <c r="T48" i="5"/>
  <c r="T117" i="5"/>
  <c r="T32" i="5"/>
  <c r="T70" i="5"/>
  <c r="T57" i="5"/>
  <c r="T90" i="5"/>
  <c r="T96" i="5"/>
  <c r="T80" i="5"/>
  <c r="T111" i="5"/>
  <c r="T91" i="5"/>
  <c r="T28" i="5"/>
  <c r="T121" i="5"/>
  <c r="T89" i="5"/>
  <c r="T93" i="5"/>
  <c r="T74" i="5"/>
  <c r="T64" i="5"/>
  <c r="T49" i="5"/>
  <c r="T33" i="5"/>
  <c r="T61" i="5"/>
  <c r="T101" i="5"/>
  <c r="T56" i="5"/>
  <c r="T115" i="5"/>
  <c r="T118" i="5"/>
  <c r="T116" i="5"/>
  <c r="T81" i="5"/>
  <c r="T40" i="5"/>
  <c r="T62" i="5"/>
  <c r="T68" i="5"/>
  <c r="T59" i="5"/>
  <c r="T85" i="5"/>
  <c r="T119" i="5"/>
  <c r="T92" i="5"/>
  <c r="T65" i="5"/>
  <c r="T108" i="5"/>
  <c r="T43" i="5"/>
  <c r="T42" i="5"/>
  <c r="T50" i="5"/>
  <c r="T99" i="5"/>
  <c r="T47" i="5"/>
  <c r="T51" i="5"/>
  <c r="T107" i="5"/>
  <c r="T41" i="5"/>
  <c r="T31" i="5"/>
  <c r="T97" i="5"/>
  <c r="T120" i="5"/>
  <c r="BE17" i="5"/>
  <c r="BE18" i="5"/>
  <c r="BE19" i="5"/>
  <c r="AJ19" i="5"/>
  <c r="AJ17" i="5"/>
  <c r="O19" i="5"/>
  <c r="O16" i="5" s="1"/>
  <c r="O18" i="5"/>
  <c r="O15" i="5" s="1"/>
  <c r="O17" i="5"/>
  <c r="O14" i="5" s="1"/>
  <c r="D24" i="1"/>
  <c r="F24" i="1" s="1"/>
  <c r="G24" i="1" s="1"/>
  <c r="B17" i="1"/>
  <c r="F5" i="1"/>
  <c r="F4" i="1"/>
  <c r="A30" i="1"/>
  <c r="B29" i="1"/>
  <c r="C29" i="1"/>
  <c r="B19" i="1"/>
  <c r="AM7" i="5" l="1"/>
  <c r="CA27" i="5" s="1"/>
  <c r="R7" i="5"/>
  <c r="CA13" i="5" s="1"/>
  <c r="R6" i="5"/>
  <c r="CA6" i="5" s="1"/>
  <c r="CA19" i="5" s="1"/>
  <c r="CA32" i="5" s="1"/>
  <c r="Z24" i="1"/>
  <c r="AA24" i="1" s="1"/>
  <c r="E24" i="1"/>
  <c r="D25" i="1"/>
  <c r="I24" i="1" s="1"/>
  <c r="J24" i="1" s="1"/>
  <c r="B20" i="1"/>
  <c r="B18" i="1"/>
  <c r="F11" i="1" s="1"/>
  <c r="F6" i="1"/>
  <c r="A31" i="1"/>
  <c r="B30" i="1"/>
  <c r="C30" i="1"/>
  <c r="AB24" i="1" l="1"/>
  <c r="AD24" i="1" s="1"/>
  <c r="CA26" i="5"/>
  <c r="CA45" i="5"/>
  <c r="CA47" i="5"/>
  <c r="CA46" i="5"/>
  <c r="L24" i="1"/>
  <c r="N24" i="1"/>
  <c r="M24" i="1"/>
  <c r="CA5" i="5"/>
  <c r="CA18" i="5" s="1"/>
  <c r="CA31" i="5" s="1"/>
  <c r="CC45" i="5" a="1"/>
  <c r="Z25" i="1"/>
  <c r="Z26" i="1" s="1"/>
  <c r="F25" i="1"/>
  <c r="E25" i="1"/>
  <c r="K24" i="1" s="1"/>
  <c r="D26" i="1"/>
  <c r="F7" i="1"/>
  <c r="H24" i="1"/>
  <c r="A32" i="1"/>
  <c r="C31" i="1"/>
  <c r="B31" i="1"/>
  <c r="AC24" i="1" l="1"/>
  <c r="AB25" i="1"/>
  <c r="AC25" i="1" s="1"/>
  <c r="Q24" i="1"/>
  <c r="O24" i="1"/>
  <c r="AA25" i="1"/>
  <c r="AG24" i="1" s="1"/>
  <c r="AE24" i="1"/>
  <c r="AF24" i="1" s="1"/>
  <c r="AI24" i="1" s="1"/>
  <c r="CC4" i="5" a="1"/>
  <c r="CF46" i="5"/>
  <c r="CE46" i="5"/>
  <c r="CG47" i="5"/>
  <c r="CE47" i="5"/>
  <c r="CF50" i="5"/>
  <c r="CF51" i="5"/>
  <c r="CG46" i="5"/>
  <c r="CF47" i="5"/>
  <c r="CC45" i="5"/>
  <c r="E26" i="1"/>
  <c r="K25" i="1" s="1"/>
  <c r="D27" i="1"/>
  <c r="F26" i="1"/>
  <c r="I25" i="1"/>
  <c r="J25" i="1" s="1"/>
  <c r="M25" i="1" s="1"/>
  <c r="AE25" i="1"/>
  <c r="AF25" i="1" s="1"/>
  <c r="AJ25" i="1" s="1"/>
  <c r="AB26" i="1"/>
  <c r="AA26" i="1"/>
  <c r="Z27" i="1"/>
  <c r="P24" i="1"/>
  <c r="A33" i="1"/>
  <c r="B32" i="1"/>
  <c r="C32" i="1"/>
  <c r="G25" i="1"/>
  <c r="H25" i="1"/>
  <c r="I26" i="1"/>
  <c r="J26" i="1" s="1"/>
  <c r="N25" i="1" l="1"/>
  <c r="L25" i="1"/>
  <c r="AH24" i="1"/>
  <c r="AD25" i="1"/>
  <c r="AJ24" i="1"/>
  <c r="AG25" i="1"/>
  <c r="CH46" i="5"/>
  <c r="CH47" i="5"/>
  <c r="CF49" i="5"/>
  <c r="CG45" i="5"/>
  <c r="CE45" i="5"/>
  <c r="CF45" i="5"/>
  <c r="CG6" i="5"/>
  <c r="CF6" i="5"/>
  <c r="CC4" i="5"/>
  <c r="CI5" i="5" s="1"/>
  <c r="CE6" i="5"/>
  <c r="CG5" i="5"/>
  <c r="CG7" i="5"/>
  <c r="CE5" i="5"/>
  <c r="CF7" i="5"/>
  <c r="CF5" i="5"/>
  <c r="CE7" i="5"/>
  <c r="CA30" i="5"/>
  <c r="CC30" i="5" s="1" a="1"/>
  <c r="CC17" i="5" a="1"/>
  <c r="D28" i="1"/>
  <c r="I27" i="1" s="1"/>
  <c r="J27" i="1" s="1"/>
  <c r="E27" i="1"/>
  <c r="K26" i="1" s="1"/>
  <c r="F27" i="1"/>
  <c r="R24" i="1"/>
  <c r="AH25" i="1"/>
  <c r="AI25" i="1"/>
  <c r="AE26" i="1"/>
  <c r="AF26" i="1" s="1"/>
  <c r="AJ26" i="1" s="1"/>
  <c r="AA27" i="1"/>
  <c r="AG26" i="1" s="1"/>
  <c r="AB27" i="1"/>
  <c r="AC26" i="1"/>
  <c r="AD26" i="1"/>
  <c r="Z28" i="1"/>
  <c r="S24" i="1"/>
  <c r="L26" i="1"/>
  <c r="N26" i="1"/>
  <c r="M26" i="1"/>
  <c r="P25" i="1"/>
  <c r="G26" i="1"/>
  <c r="H26" i="1"/>
  <c r="A34" i="1"/>
  <c r="B33" i="1"/>
  <c r="C33" i="1"/>
  <c r="O25" i="1" l="1"/>
  <c r="AK24" i="1"/>
  <c r="F4" i="5"/>
  <c r="Q25" i="1"/>
  <c r="S25" i="1" s="1"/>
  <c r="AL24" i="1"/>
  <c r="AM24" i="1"/>
  <c r="AN24" i="1" s="1"/>
  <c r="Q26" i="1"/>
  <c r="CH7" i="5"/>
  <c r="CC30" i="5"/>
  <c r="CI31" i="5" s="1"/>
  <c r="CE33" i="5"/>
  <c r="CF32" i="5"/>
  <c r="CE32" i="5"/>
  <c r="CG31" i="5"/>
  <c r="CF33" i="5"/>
  <c r="CG32" i="5"/>
  <c r="CF31" i="5"/>
  <c r="CE31" i="5"/>
  <c r="CG33" i="5"/>
  <c r="CH5" i="5"/>
  <c r="CH45" i="5"/>
  <c r="CE20" i="5"/>
  <c r="CF18" i="5"/>
  <c r="CE18" i="5"/>
  <c r="CG18" i="5"/>
  <c r="CE19" i="5"/>
  <c r="CC17" i="5"/>
  <c r="CI18" i="5" s="1"/>
  <c r="CG20" i="5"/>
  <c r="CF20" i="5"/>
  <c r="CF19" i="5"/>
  <c r="CG19" i="5"/>
  <c r="CH6" i="5"/>
  <c r="D29" i="1"/>
  <c r="F28" i="1"/>
  <c r="E28" i="1"/>
  <c r="K27" i="1" s="1"/>
  <c r="AI26" i="1"/>
  <c r="AL25" i="1"/>
  <c r="AM25" i="1"/>
  <c r="AH26" i="1"/>
  <c r="AK25" i="1"/>
  <c r="AE27" i="1"/>
  <c r="AF27" i="1" s="1"/>
  <c r="AI27" i="1" s="1"/>
  <c r="AA28" i="1"/>
  <c r="AG27" i="1" s="1"/>
  <c r="AB28" i="1"/>
  <c r="AC27" i="1"/>
  <c r="AD27" i="1"/>
  <c r="Z29" i="1"/>
  <c r="U24" i="1"/>
  <c r="T24" i="1"/>
  <c r="L27" i="1"/>
  <c r="N27" i="1"/>
  <c r="M27" i="1"/>
  <c r="O26" i="1"/>
  <c r="P26" i="1"/>
  <c r="A35" i="1"/>
  <c r="B34" i="1"/>
  <c r="C34" i="1"/>
  <c r="G27" i="1"/>
  <c r="H27" i="1"/>
  <c r="R25" i="1" l="1"/>
  <c r="AO25" i="1"/>
  <c r="AO24" i="1"/>
  <c r="AP24" i="1" s="1"/>
  <c r="Q27" i="1"/>
  <c r="CH20" i="5"/>
  <c r="CH32" i="5"/>
  <c r="CH18" i="5"/>
  <c r="CH33" i="5"/>
  <c r="CH19" i="5"/>
  <c r="CH31" i="5"/>
  <c r="E29" i="1"/>
  <c r="K28" i="1" s="1"/>
  <c r="D30" i="1"/>
  <c r="I29" i="1" s="1"/>
  <c r="J29" i="1" s="1"/>
  <c r="F29" i="1"/>
  <c r="AL26" i="1"/>
  <c r="AN25" i="1"/>
  <c r="AQ25" i="1" s="1"/>
  <c r="AK26" i="1"/>
  <c r="AM26" i="1"/>
  <c r="AH27" i="1"/>
  <c r="AJ27" i="1"/>
  <c r="AE28" i="1"/>
  <c r="AF28" i="1" s="1"/>
  <c r="AI28" i="1" s="1"/>
  <c r="AA29" i="1"/>
  <c r="AG28" i="1" s="1"/>
  <c r="AB29" i="1"/>
  <c r="AS24" i="1"/>
  <c r="W24" i="1"/>
  <c r="X24" i="1"/>
  <c r="AC28" i="1"/>
  <c r="AD28" i="1"/>
  <c r="Z30" i="1"/>
  <c r="T25" i="1"/>
  <c r="W25" i="1" s="1"/>
  <c r="U25" i="1"/>
  <c r="R26" i="1"/>
  <c r="P27" i="1"/>
  <c r="O27" i="1"/>
  <c r="S26" i="1"/>
  <c r="A36" i="1"/>
  <c r="B35" i="1"/>
  <c r="C35" i="1"/>
  <c r="I28" i="1"/>
  <c r="J28" i="1" s="1"/>
  <c r="G28" i="1"/>
  <c r="H28" i="1"/>
  <c r="AQ24" i="1" l="1"/>
  <c r="AT24" i="1" s="1"/>
  <c r="AR24" i="1" s="1"/>
  <c r="V24" i="1"/>
  <c r="AN26" i="1"/>
  <c r="CF38" i="5"/>
  <c r="F2" i="5" s="1"/>
  <c r="AP25" i="1"/>
  <c r="AS25" i="1" s="1"/>
  <c r="F30" i="1"/>
  <c r="D31" i="1"/>
  <c r="I30" i="1" s="1"/>
  <c r="J30" i="1" s="1"/>
  <c r="M30" i="1" s="1"/>
  <c r="E30" i="1"/>
  <c r="K29" i="1" s="1"/>
  <c r="AK27" i="1"/>
  <c r="AO26" i="1"/>
  <c r="AL27" i="1"/>
  <c r="AM27" i="1"/>
  <c r="AJ28" i="1"/>
  <c r="AH28" i="1"/>
  <c r="AA30" i="1"/>
  <c r="AG29" i="1" s="1"/>
  <c r="AB30" i="1"/>
  <c r="Z31" i="1"/>
  <c r="AC29" i="1"/>
  <c r="AD29" i="1"/>
  <c r="AE29" i="1"/>
  <c r="AF29" i="1" s="1"/>
  <c r="U26" i="1"/>
  <c r="X25" i="1"/>
  <c r="V25" i="1" s="1"/>
  <c r="S27" i="1"/>
  <c r="T26" i="1"/>
  <c r="W26" i="1" s="1"/>
  <c r="L29" i="1"/>
  <c r="M29" i="1"/>
  <c r="N29" i="1"/>
  <c r="R27" i="1"/>
  <c r="L28" i="1"/>
  <c r="M28" i="1"/>
  <c r="N28" i="1"/>
  <c r="G29" i="1"/>
  <c r="H29" i="1"/>
  <c r="A37" i="1"/>
  <c r="B36" i="1"/>
  <c r="C36" i="1"/>
  <c r="Q29" i="1" l="1"/>
  <c r="Q28" i="1"/>
  <c r="AQ26" i="1"/>
  <c r="AT25" i="1"/>
  <c r="AR25" i="1" s="1"/>
  <c r="AO27" i="1"/>
  <c r="AP26" i="1"/>
  <c r="AS26" i="1" s="1"/>
  <c r="AN27" i="1"/>
  <c r="D32" i="1"/>
  <c r="F31" i="1"/>
  <c r="E31" i="1"/>
  <c r="K30" i="1" s="1"/>
  <c r="AK28" i="1"/>
  <c r="AM28" i="1"/>
  <c r="AL28" i="1"/>
  <c r="AE30" i="1"/>
  <c r="AF30" i="1" s="1"/>
  <c r="AJ30" i="1" s="1"/>
  <c r="AA31" i="1"/>
  <c r="AG30" i="1" s="1"/>
  <c r="AB31" i="1"/>
  <c r="AC30" i="1"/>
  <c r="AD30" i="1"/>
  <c r="Z32" i="1"/>
  <c r="AI29" i="1"/>
  <c r="AH29" i="1"/>
  <c r="AJ29" i="1"/>
  <c r="N30" i="1"/>
  <c r="X26" i="1"/>
  <c r="V26" i="1" s="1"/>
  <c r="L30" i="1"/>
  <c r="T27" i="1"/>
  <c r="W27" i="1" s="1"/>
  <c r="U27" i="1"/>
  <c r="O29" i="1"/>
  <c r="P29" i="1"/>
  <c r="O28" i="1"/>
  <c r="P28" i="1"/>
  <c r="A38" i="1"/>
  <c r="B37" i="1"/>
  <c r="C37" i="1"/>
  <c r="G30" i="1"/>
  <c r="H30" i="1"/>
  <c r="Q30" i="1" l="1"/>
  <c r="AT26" i="1"/>
  <c r="AR26" i="1" s="1"/>
  <c r="AP27" i="1"/>
  <c r="AQ27" i="1"/>
  <c r="AN28" i="1"/>
  <c r="AH30" i="1"/>
  <c r="AI30" i="1"/>
  <c r="E32" i="1"/>
  <c r="K31" i="1" s="1"/>
  <c r="F32" i="1"/>
  <c r="D33" i="1"/>
  <c r="AO28" i="1"/>
  <c r="AB32" i="1"/>
  <c r="AA32" i="1"/>
  <c r="AG31" i="1" s="1"/>
  <c r="AS27" i="1"/>
  <c r="I31" i="1"/>
  <c r="J31" i="1" s="1"/>
  <c r="L31" i="1" s="1"/>
  <c r="AK29" i="1"/>
  <c r="AL29" i="1"/>
  <c r="AM29" i="1"/>
  <c r="AC31" i="1"/>
  <c r="AD31" i="1"/>
  <c r="Z33" i="1"/>
  <c r="AE31" i="1"/>
  <c r="AF31" i="1" s="1"/>
  <c r="P30" i="1"/>
  <c r="O30" i="1"/>
  <c r="X27" i="1"/>
  <c r="V27" i="1" s="1"/>
  <c r="S29" i="1"/>
  <c r="R29" i="1"/>
  <c r="S28" i="1"/>
  <c r="R28" i="1"/>
  <c r="G31" i="1"/>
  <c r="H31" i="1"/>
  <c r="A39" i="1"/>
  <c r="B38" i="1"/>
  <c r="C38" i="1"/>
  <c r="AT27" i="1" l="1"/>
  <c r="AR27" i="1" s="1"/>
  <c r="AP28" i="1"/>
  <c r="AS28" i="1" s="1"/>
  <c r="AL30" i="1"/>
  <c r="AK30" i="1"/>
  <c r="AM30" i="1"/>
  <c r="AQ28" i="1"/>
  <c r="D34" i="1"/>
  <c r="I33" i="1" s="1"/>
  <c r="J33" i="1" s="1"/>
  <c r="E33" i="1"/>
  <c r="K32" i="1" s="1"/>
  <c r="F33" i="1"/>
  <c r="AE32" i="1"/>
  <c r="AF32" i="1" s="1"/>
  <c r="AI32" i="1" s="1"/>
  <c r="AB33" i="1"/>
  <c r="AA33" i="1"/>
  <c r="AG32" i="1" s="1"/>
  <c r="R30" i="1"/>
  <c r="N31" i="1"/>
  <c r="M31" i="1"/>
  <c r="Q31" i="1" s="1"/>
  <c r="I32" i="1"/>
  <c r="J32" i="1" s="1"/>
  <c r="N32" i="1" s="1"/>
  <c r="S30" i="1"/>
  <c r="AN29" i="1"/>
  <c r="AO29" i="1"/>
  <c r="AC32" i="1"/>
  <c r="AD32" i="1"/>
  <c r="Z34" i="1"/>
  <c r="AH31" i="1"/>
  <c r="AI31" i="1"/>
  <c r="AJ31" i="1"/>
  <c r="U28" i="1"/>
  <c r="T29" i="1"/>
  <c r="W29" i="1" s="1"/>
  <c r="U29" i="1"/>
  <c r="T28" i="1"/>
  <c r="W28" i="1" s="1"/>
  <c r="A40" i="1"/>
  <c r="B39" i="1"/>
  <c r="C39" i="1"/>
  <c r="G32" i="1"/>
  <c r="H32" i="1"/>
  <c r="AT28" i="1" l="1"/>
  <c r="AR28" i="1" s="1"/>
  <c r="AN30" i="1"/>
  <c r="AO30" i="1"/>
  <c r="D35" i="1"/>
  <c r="I34" i="1" s="1"/>
  <c r="J34" i="1" s="1"/>
  <c r="E34" i="1"/>
  <c r="K33" i="1" s="1"/>
  <c r="F34" i="1"/>
  <c r="AH32" i="1"/>
  <c r="AJ32" i="1"/>
  <c r="AB34" i="1"/>
  <c r="AA34" i="1"/>
  <c r="AG33" i="1" s="1"/>
  <c r="T30" i="1"/>
  <c r="W30" i="1" s="1"/>
  <c r="P31" i="1"/>
  <c r="O31" i="1"/>
  <c r="M32" i="1"/>
  <c r="L32" i="1"/>
  <c r="U30" i="1"/>
  <c r="AP29" i="1"/>
  <c r="AS29" i="1" s="1"/>
  <c r="AQ29" i="1"/>
  <c r="Z35" i="1"/>
  <c r="AL31" i="1"/>
  <c r="AK31" i="1"/>
  <c r="AM31" i="1"/>
  <c r="AC33" i="1"/>
  <c r="AD33" i="1"/>
  <c r="AE33" i="1"/>
  <c r="AF33" i="1" s="1"/>
  <c r="X29" i="1"/>
  <c r="V29" i="1" s="1"/>
  <c r="X28" i="1"/>
  <c r="V28" i="1" s="1"/>
  <c r="L33" i="1"/>
  <c r="M33" i="1"/>
  <c r="N33" i="1"/>
  <c r="A41" i="1"/>
  <c r="B40" i="1"/>
  <c r="C40" i="1"/>
  <c r="G33" i="1"/>
  <c r="H33" i="1"/>
  <c r="AQ30" i="1" l="1"/>
  <c r="Q33" i="1"/>
  <c r="AP30" i="1"/>
  <c r="AS30" i="1" s="1"/>
  <c r="Q32" i="1"/>
  <c r="AM32" i="1"/>
  <c r="AK32" i="1"/>
  <c r="AL32" i="1"/>
  <c r="AO32" i="1" s="1"/>
  <c r="F35" i="1"/>
  <c r="D36" i="1"/>
  <c r="E35" i="1"/>
  <c r="K34" i="1" s="1"/>
  <c r="AE34" i="1"/>
  <c r="AF34" i="1" s="1"/>
  <c r="AI34" i="1" s="1"/>
  <c r="AA35" i="1"/>
  <c r="AG34" i="1" s="1"/>
  <c r="AB35" i="1"/>
  <c r="R31" i="1"/>
  <c r="X30" i="1"/>
  <c r="V30" i="1" s="1"/>
  <c r="S31" i="1"/>
  <c r="O32" i="1"/>
  <c r="P32" i="1"/>
  <c r="AT29" i="1"/>
  <c r="AR29" i="1" s="1"/>
  <c r="AN31" i="1"/>
  <c r="AH33" i="1"/>
  <c r="AJ33" i="1"/>
  <c r="AI33" i="1"/>
  <c r="AT30" i="1"/>
  <c r="Z36" i="1"/>
  <c r="AC34" i="1"/>
  <c r="AD34" i="1"/>
  <c r="AO31" i="1"/>
  <c r="L34" i="1"/>
  <c r="N34" i="1"/>
  <c r="M34" i="1"/>
  <c r="P33" i="1"/>
  <c r="O33" i="1"/>
  <c r="A42" i="1"/>
  <c r="B41" i="1"/>
  <c r="C41" i="1"/>
  <c r="G34" i="1"/>
  <c r="H34" i="1"/>
  <c r="AR30" i="1" l="1"/>
  <c r="AN32" i="1"/>
  <c r="Q34" i="1"/>
  <c r="AJ34" i="1"/>
  <c r="AH34" i="1"/>
  <c r="D37" i="1"/>
  <c r="I36" i="1" s="1"/>
  <c r="J36" i="1" s="1"/>
  <c r="F36" i="1"/>
  <c r="E36" i="1"/>
  <c r="K35" i="1" s="1"/>
  <c r="I35" i="1"/>
  <c r="J35" i="1" s="1"/>
  <c r="AE35" i="1"/>
  <c r="AF35" i="1" s="1"/>
  <c r="AI35" i="1" s="1"/>
  <c r="AA36" i="1"/>
  <c r="AG35" i="1" s="1"/>
  <c r="AB36" i="1"/>
  <c r="T31" i="1"/>
  <c r="W31" i="1" s="1"/>
  <c r="U31" i="1"/>
  <c r="R32" i="1"/>
  <c r="AP32" i="1"/>
  <c r="AS32" i="1" s="1"/>
  <c r="S32" i="1"/>
  <c r="AP31" i="1"/>
  <c r="AS31" i="1" s="1"/>
  <c r="AQ32" i="1"/>
  <c r="AQ31" i="1"/>
  <c r="AC35" i="1"/>
  <c r="AD35" i="1"/>
  <c r="Z37" i="1"/>
  <c r="AL33" i="1"/>
  <c r="AM33" i="1"/>
  <c r="AK33" i="1"/>
  <c r="S33" i="1"/>
  <c r="O34" i="1"/>
  <c r="P34" i="1"/>
  <c r="R33" i="1"/>
  <c r="G35" i="1"/>
  <c r="H35" i="1"/>
  <c r="A43" i="1"/>
  <c r="B42" i="1"/>
  <c r="C42" i="1"/>
  <c r="AM34" i="1" l="1"/>
  <c r="AL34" i="1"/>
  <c r="AK34" i="1"/>
  <c r="AH35" i="1"/>
  <c r="AJ35" i="1"/>
  <c r="N35" i="1"/>
  <c r="M35" i="1"/>
  <c r="L35" i="1"/>
  <c r="D38" i="1"/>
  <c r="E37" i="1"/>
  <c r="K36" i="1" s="1"/>
  <c r="F37" i="1"/>
  <c r="AE36" i="1"/>
  <c r="AF36" i="1" s="1"/>
  <c r="AJ36" i="1" s="1"/>
  <c r="AA37" i="1"/>
  <c r="AG36" i="1" s="1"/>
  <c r="AB37" i="1"/>
  <c r="X31" i="1"/>
  <c r="V31" i="1" s="1"/>
  <c r="T32" i="1"/>
  <c r="AT32" i="1"/>
  <c r="AR32" i="1" s="1"/>
  <c r="U32" i="1"/>
  <c r="AT31" i="1"/>
  <c r="AR31" i="1" s="1"/>
  <c r="AN33" i="1"/>
  <c r="AO33" i="1"/>
  <c r="U33" i="1"/>
  <c r="Z38" i="1"/>
  <c r="AC36" i="1"/>
  <c r="AD36" i="1"/>
  <c r="T33" i="1"/>
  <c r="W33" i="1" s="1"/>
  <c r="S34" i="1"/>
  <c r="R34" i="1"/>
  <c r="L36" i="1"/>
  <c r="M36" i="1"/>
  <c r="N36" i="1"/>
  <c r="A44" i="1"/>
  <c r="B43" i="1"/>
  <c r="C43" i="1"/>
  <c r="G36" i="1"/>
  <c r="H36" i="1"/>
  <c r="AN34" i="1" l="1"/>
  <c r="AO34" i="1"/>
  <c r="Q35" i="1"/>
  <c r="Q36" i="1"/>
  <c r="AK35" i="1"/>
  <c r="AL35" i="1"/>
  <c r="AM35" i="1"/>
  <c r="AI36" i="1"/>
  <c r="AH36" i="1"/>
  <c r="F38" i="1"/>
  <c r="E38" i="1"/>
  <c r="K37" i="1" s="1"/>
  <c r="D39" i="1"/>
  <c r="O35" i="1"/>
  <c r="P35" i="1"/>
  <c r="I37" i="1"/>
  <c r="J37" i="1" s="1"/>
  <c r="L37" i="1" s="1"/>
  <c r="AE37" i="1"/>
  <c r="AF37" i="1" s="1"/>
  <c r="AJ37" i="1" s="1"/>
  <c r="AA38" i="1"/>
  <c r="AG37" i="1" s="1"/>
  <c r="AB38" i="1"/>
  <c r="X32" i="1"/>
  <c r="W32" i="1"/>
  <c r="AQ33" i="1"/>
  <c r="AP33" i="1"/>
  <c r="AS33" i="1" s="1"/>
  <c r="X33" i="1"/>
  <c r="V33" i="1" s="1"/>
  <c r="AC37" i="1"/>
  <c r="AD37" i="1"/>
  <c r="AP34" i="1"/>
  <c r="AS34" i="1" s="1"/>
  <c r="AQ34" i="1"/>
  <c r="Z39" i="1"/>
  <c r="T34" i="1"/>
  <c r="W34" i="1" s="1"/>
  <c r="U34" i="1"/>
  <c r="O36" i="1"/>
  <c r="P36" i="1"/>
  <c r="A45" i="1"/>
  <c r="B44" i="1"/>
  <c r="C44" i="1"/>
  <c r="G37" i="1"/>
  <c r="H37" i="1"/>
  <c r="AO35" i="1" l="1"/>
  <c r="AM36" i="1"/>
  <c r="V32" i="1"/>
  <c r="AN35" i="1"/>
  <c r="AP35" i="1" s="1"/>
  <c r="AS35" i="1" s="1"/>
  <c r="AK36" i="1"/>
  <c r="AN36" i="1" s="1"/>
  <c r="M37" i="1"/>
  <c r="N37" i="1"/>
  <c r="AH37" i="1"/>
  <c r="AI37" i="1"/>
  <c r="AL36" i="1"/>
  <c r="AO36" i="1" s="1"/>
  <c r="R35" i="1"/>
  <c r="F39" i="1"/>
  <c r="E39" i="1"/>
  <c r="K38" i="1" s="1"/>
  <c r="D40" i="1"/>
  <c r="S35" i="1"/>
  <c r="I38" i="1"/>
  <c r="J38" i="1" s="1"/>
  <c r="AE38" i="1"/>
  <c r="AF38" i="1" s="1"/>
  <c r="AI38" i="1" s="1"/>
  <c r="AA39" i="1"/>
  <c r="AG38" i="1" s="1"/>
  <c r="AB39" i="1"/>
  <c r="AT33" i="1"/>
  <c r="AR33" i="1" s="1"/>
  <c r="AT34" i="1"/>
  <c r="AR34" i="1" s="1"/>
  <c r="AC38" i="1"/>
  <c r="AD38" i="1"/>
  <c r="Z40" i="1"/>
  <c r="X34" i="1"/>
  <c r="V34" i="1" s="1"/>
  <c r="S36" i="1"/>
  <c r="R36" i="1"/>
  <c r="G38" i="1"/>
  <c r="H38" i="1"/>
  <c r="A46" i="1"/>
  <c r="B45" i="1"/>
  <c r="C45" i="1"/>
  <c r="AQ35" i="1" l="1"/>
  <c r="AT35" i="1" s="1"/>
  <c r="AR35" i="1" s="1"/>
  <c r="O37" i="1"/>
  <c r="AK37" i="1"/>
  <c r="Q37" i="1"/>
  <c r="AL37" i="1"/>
  <c r="AM37" i="1"/>
  <c r="P37" i="1"/>
  <c r="U35" i="1"/>
  <c r="T35" i="1"/>
  <c r="W35" i="1" s="1"/>
  <c r="N38" i="1"/>
  <c r="L38" i="1"/>
  <c r="M38" i="1"/>
  <c r="E40" i="1"/>
  <c r="K39" i="1" s="1"/>
  <c r="F40" i="1"/>
  <c r="D41" i="1"/>
  <c r="I40" i="1" s="1"/>
  <c r="J40" i="1" s="1"/>
  <c r="I39" i="1"/>
  <c r="J39" i="1" s="1"/>
  <c r="L39" i="1" s="1"/>
  <c r="AJ38" i="1"/>
  <c r="AH38" i="1"/>
  <c r="AE39" i="1"/>
  <c r="AF39" i="1" s="1"/>
  <c r="AI39" i="1" s="1"/>
  <c r="AB40" i="1"/>
  <c r="AA40" i="1"/>
  <c r="AG39" i="1" s="1"/>
  <c r="AQ36" i="1"/>
  <c r="AP36" i="1"/>
  <c r="AS36" i="1" s="1"/>
  <c r="Z41" i="1"/>
  <c r="AC39" i="1"/>
  <c r="AD39" i="1"/>
  <c r="T36" i="1"/>
  <c r="W36" i="1" s="1"/>
  <c r="U36" i="1"/>
  <c r="A47" i="1"/>
  <c r="B46" i="1"/>
  <c r="C46" i="1"/>
  <c r="G39" i="1"/>
  <c r="H39" i="1"/>
  <c r="AN37" i="1" l="1"/>
  <c r="S37" i="1"/>
  <c r="AK38" i="1"/>
  <c r="N39" i="1"/>
  <c r="M39" i="1"/>
  <c r="Q38" i="1"/>
  <c r="R37" i="1"/>
  <c r="T37" i="1" s="1"/>
  <c r="W37" i="1" s="1"/>
  <c r="AO37" i="1"/>
  <c r="AQ37" i="1" s="1"/>
  <c r="X35" i="1"/>
  <c r="V35" i="1" s="1"/>
  <c r="L40" i="1"/>
  <c r="N40" i="1"/>
  <c r="M40" i="1"/>
  <c r="O38" i="1"/>
  <c r="P38" i="1"/>
  <c r="D42" i="1"/>
  <c r="F41" i="1"/>
  <c r="E41" i="1"/>
  <c r="K40" i="1" s="1"/>
  <c r="AJ39" i="1"/>
  <c r="AM38" i="1"/>
  <c r="AN38" i="1" s="1"/>
  <c r="AL38" i="1"/>
  <c r="AH39" i="1"/>
  <c r="AE40" i="1"/>
  <c r="AF40" i="1" s="1"/>
  <c r="AJ40" i="1" s="1"/>
  <c r="AB41" i="1"/>
  <c r="AA41" i="1"/>
  <c r="AG40" i="1" s="1"/>
  <c r="AT36" i="1"/>
  <c r="AR36" i="1" s="1"/>
  <c r="Z42" i="1"/>
  <c r="AC40" i="1"/>
  <c r="AD40" i="1"/>
  <c r="X36" i="1"/>
  <c r="V36" i="1" s="1"/>
  <c r="G40" i="1"/>
  <c r="H40" i="1"/>
  <c r="A48" i="1"/>
  <c r="B47" i="1"/>
  <c r="C47" i="1"/>
  <c r="Q39" i="1" l="1"/>
  <c r="O39" i="1"/>
  <c r="R39" i="1" s="1"/>
  <c r="P39" i="1"/>
  <c r="AP37" i="1"/>
  <c r="AS37" i="1" s="1"/>
  <c r="Q40" i="1"/>
  <c r="AL39" i="1"/>
  <c r="U37" i="1"/>
  <c r="X37" i="1" s="1"/>
  <c r="O40" i="1"/>
  <c r="P40" i="1"/>
  <c r="R38" i="1"/>
  <c r="AO38" i="1"/>
  <c r="AP38" i="1" s="1"/>
  <c r="AS38" i="1" s="1"/>
  <c r="F42" i="1"/>
  <c r="E42" i="1"/>
  <c r="K41" i="1" s="1"/>
  <c r="D43" i="1"/>
  <c r="S38" i="1"/>
  <c r="I41" i="1"/>
  <c r="J41" i="1" s="1"/>
  <c r="AK39" i="1"/>
  <c r="AM39" i="1"/>
  <c r="AI40" i="1"/>
  <c r="AH40" i="1"/>
  <c r="AE41" i="1"/>
  <c r="AF41" i="1" s="1"/>
  <c r="AI41" i="1" s="1"/>
  <c r="AB42" i="1"/>
  <c r="AA42" i="1"/>
  <c r="AG41" i="1" s="1"/>
  <c r="Z43" i="1"/>
  <c r="AC41" i="1"/>
  <c r="AD41" i="1"/>
  <c r="S39" i="1"/>
  <c r="A49" i="1"/>
  <c r="B48" i="1"/>
  <c r="C48" i="1"/>
  <c r="G41" i="1"/>
  <c r="H41" i="1"/>
  <c r="S40" i="1" l="1"/>
  <c r="AT37" i="1"/>
  <c r="AR37" i="1" s="1"/>
  <c r="R40" i="1"/>
  <c r="U40" i="1" s="1"/>
  <c r="V37" i="1"/>
  <c r="AO39" i="1"/>
  <c r="T38" i="1"/>
  <c r="W38" i="1" s="1"/>
  <c r="AQ38" i="1"/>
  <c r="AT38" i="1" s="1"/>
  <c r="AR38" i="1" s="1"/>
  <c r="AN39" i="1"/>
  <c r="AJ41" i="1"/>
  <c r="L41" i="1"/>
  <c r="M41" i="1"/>
  <c r="N41" i="1"/>
  <c r="F43" i="1"/>
  <c r="E43" i="1"/>
  <c r="K42" i="1" s="1"/>
  <c r="D44" i="1"/>
  <c r="I42" i="1"/>
  <c r="J42" i="1" s="1"/>
  <c r="U38" i="1"/>
  <c r="AH41" i="1"/>
  <c r="AK40" i="1"/>
  <c r="AM40" i="1"/>
  <c r="AL40" i="1"/>
  <c r="AE42" i="1"/>
  <c r="AF42" i="1" s="1"/>
  <c r="AH42" i="1" s="1"/>
  <c r="AA43" i="1"/>
  <c r="AG42" i="1" s="1"/>
  <c r="AB43" i="1"/>
  <c r="Z44" i="1"/>
  <c r="AC42" i="1"/>
  <c r="AD42" i="1"/>
  <c r="U39" i="1"/>
  <c r="T39" i="1"/>
  <c r="W39" i="1" s="1"/>
  <c r="G42" i="1"/>
  <c r="H42" i="1"/>
  <c r="A50" i="1"/>
  <c r="B49" i="1"/>
  <c r="C49" i="1"/>
  <c r="T40" i="1" l="1"/>
  <c r="W40" i="1" s="1"/>
  <c r="AP39" i="1"/>
  <c r="AS39" i="1" s="1"/>
  <c r="AQ39" i="1"/>
  <c r="X38" i="1"/>
  <c r="V38" i="1" s="1"/>
  <c r="Q41" i="1"/>
  <c r="AK41" i="1"/>
  <c r="E44" i="1"/>
  <c r="K43" i="1" s="1"/>
  <c r="F44" i="1"/>
  <c r="D45" i="1"/>
  <c r="I44" i="1" s="1"/>
  <c r="J44" i="1" s="1"/>
  <c r="I43" i="1"/>
  <c r="J43" i="1" s="1"/>
  <c r="N42" i="1"/>
  <c r="L42" i="1"/>
  <c r="M42" i="1"/>
  <c r="P41" i="1"/>
  <c r="O41" i="1"/>
  <c r="AN40" i="1"/>
  <c r="AM41" i="1"/>
  <c r="AL41" i="1"/>
  <c r="AO40" i="1"/>
  <c r="AJ42" i="1"/>
  <c r="AI42" i="1"/>
  <c r="AE43" i="1"/>
  <c r="AF43" i="1" s="1"/>
  <c r="AJ43" i="1" s="1"/>
  <c r="AA44" i="1"/>
  <c r="AG43" i="1" s="1"/>
  <c r="AB44" i="1"/>
  <c r="X39" i="1"/>
  <c r="V39" i="1" s="1"/>
  <c r="Z45" i="1"/>
  <c r="AC43" i="1"/>
  <c r="AD43" i="1"/>
  <c r="X40" i="1"/>
  <c r="V40" i="1" s="1"/>
  <c r="G43" i="1"/>
  <c r="H43" i="1"/>
  <c r="A51" i="1"/>
  <c r="B50" i="1"/>
  <c r="C50" i="1"/>
  <c r="AT39" i="1" l="1"/>
  <c r="AR39" i="1" s="1"/>
  <c r="Q42" i="1"/>
  <c r="R41" i="1"/>
  <c r="S41" i="1"/>
  <c r="T41" i="1" s="1"/>
  <c r="N44" i="1"/>
  <c r="M44" i="1"/>
  <c r="AO41" i="1"/>
  <c r="AQ40" i="1"/>
  <c r="AK42" i="1"/>
  <c r="AN41" i="1"/>
  <c r="L44" i="1"/>
  <c r="E45" i="1"/>
  <c r="K44" i="1" s="1"/>
  <c r="F45" i="1"/>
  <c r="D46" i="1"/>
  <c r="I45" i="1" s="1"/>
  <c r="J45" i="1" s="1"/>
  <c r="O42" i="1"/>
  <c r="R42" i="1" s="1"/>
  <c r="P42" i="1"/>
  <c r="AP40" i="1"/>
  <c r="AS40" i="1" s="1"/>
  <c r="N43" i="1"/>
  <c r="M43" i="1"/>
  <c r="L43" i="1"/>
  <c r="Q43" i="1" s="1"/>
  <c r="AL42" i="1"/>
  <c r="AM42" i="1"/>
  <c r="AI43" i="1"/>
  <c r="AH43" i="1"/>
  <c r="AE44" i="1"/>
  <c r="AF44" i="1" s="1"/>
  <c r="AJ44" i="1" s="1"/>
  <c r="AA45" i="1"/>
  <c r="AG44" i="1" s="1"/>
  <c r="AB45" i="1"/>
  <c r="AC44" i="1"/>
  <c r="AD44" i="1"/>
  <c r="Z46" i="1"/>
  <c r="A52" i="1"/>
  <c r="B51" i="1"/>
  <c r="C51" i="1"/>
  <c r="G44" i="1"/>
  <c r="H44" i="1"/>
  <c r="Q44" i="1" l="1"/>
  <c r="U41" i="1"/>
  <c r="O44" i="1"/>
  <c r="X41" i="1"/>
  <c r="AQ41" i="1"/>
  <c r="P44" i="1"/>
  <c r="S44" i="1" s="1"/>
  <c r="R44" i="1"/>
  <c r="AN42" i="1"/>
  <c r="S42" i="1"/>
  <c r="U42" i="1" s="1"/>
  <c r="AT40" i="1"/>
  <c r="AR40" i="1" s="1"/>
  <c r="W41" i="1"/>
  <c r="AP41" i="1"/>
  <c r="AS41" i="1" s="1"/>
  <c r="AK43" i="1"/>
  <c r="D47" i="1"/>
  <c r="I46" i="1" s="1"/>
  <c r="J46" i="1" s="1"/>
  <c r="E46" i="1"/>
  <c r="K45" i="1" s="1"/>
  <c r="F46" i="1"/>
  <c r="AO42" i="1"/>
  <c r="O43" i="1"/>
  <c r="P43" i="1"/>
  <c r="AL43" i="1"/>
  <c r="AM43" i="1"/>
  <c r="AI44" i="1"/>
  <c r="AH44" i="1"/>
  <c r="AA46" i="1"/>
  <c r="AG45" i="1" s="1"/>
  <c r="AB46" i="1"/>
  <c r="Z47" i="1"/>
  <c r="AC45" i="1"/>
  <c r="AD45" i="1"/>
  <c r="AE45" i="1"/>
  <c r="AF45" i="1" s="1"/>
  <c r="L45" i="1"/>
  <c r="M45" i="1"/>
  <c r="N45" i="1"/>
  <c r="G45" i="1"/>
  <c r="H45" i="1"/>
  <c r="A53" i="1"/>
  <c r="B52" i="1"/>
  <c r="C52" i="1"/>
  <c r="V41" i="1" l="1"/>
  <c r="Q45" i="1"/>
  <c r="AT41" i="1"/>
  <c r="AR41" i="1" s="1"/>
  <c r="T42" i="1"/>
  <c r="W42" i="1" s="1"/>
  <c r="AP42" i="1"/>
  <c r="AS42" i="1" s="1"/>
  <c r="AO43" i="1"/>
  <c r="AN43" i="1"/>
  <c r="R43" i="1"/>
  <c r="AQ42" i="1"/>
  <c r="S43" i="1"/>
  <c r="F47" i="1"/>
  <c r="E47" i="1"/>
  <c r="K46" i="1" s="1"/>
  <c r="D48" i="1"/>
  <c r="AK44" i="1"/>
  <c r="AM44" i="1"/>
  <c r="AL44" i="1"/>
  <c r="AE46" i="1"/>
  <c r="AF46" i="1" s="1"/>
  <c r="AH46" i="1" s="1"/>
  <c r="AA47" i="1"/>
  <c r="AG46" i="1" s="1"/>
  <c r="AB47" i="1"/>
  <c r="AI45" i="1"/>
  <c r="AH45" i="1"/>
  <c r="AJ45" i="1"/>
  <c r="AC46" i="1"/>
  <c r="AD46" i="1"/>
  <c r="Z48" i="1"/>
  <c r="T44" i="1"/>
  <c r="W44" i="1" s="1"/>
  <c r="U44" i="1"/>
  <c r="L46" i="1"/>
  <c r="N46" i="1"/>
  <c r="M46" i="1"/>
  <c r="O45" i="1"/>
  <c r="P45" i="1"/>
  <c r="G46" i="1"/>
  <c r="H46" i="1"/>
  <c r="A54" i="1"/>
  <c r="B53" i="1"/>
  <c r="C53" i="1"/>
  <c r="AP43" i="1" l="1"/>
  <c r="AS43" i="1" s="1"/>
  <c r="Q46" i="1"/>
  <c r="AT42" i="1"/>
  <c r="AR42" i="1" s="1"/>
  <c r="AQ43" i="1"/>
  <c r="U43" i="1"/>
  <c r="X42" i="1"/>
  <c r="V42" i="1" s="1"/>
  <c r="T43" i="1"/>
  <c r="W43" i="1" s="1"/>
  <c r="AN44" i="1"/>
  <c r="D49" i="1"/>
  <c r="F48" i="1"/>
  <c r="E48" i="1"/>
  <c r="K47" i="1" s="1"/>
  <c r="I47" i="1"/>
  <c r="J47" i="1" s="1"/>
  <c r="AO44" i="1"/>
  <c r="AI46" i="1"/>
  <c r="AJ46" i="1"/>
  <c r="AE47" i="1"/>
  <c r="AF47" i="1" s="1"/>
  <c r="AI47" i="1" s="1"/>
  <c r="AB48" i="1"/>
  <c r="AA48" i="1"/>
  <c r="AG47" i="1" s="1"/>
  <c r="AC47" i="1"/>
  <c r="AD47" i="1"/>
  <c r="Z49" i="1"/>
  <c r="AL45" i="1"/>
  <c r="AM45" i="1"/>
  <c r="AK45" i="1"/>
  <c r="X44" i="1"/>
  <c r="V44" i="1" s="1"/>
  <c r="S45" i="1"/>
  <c r="O46" i="1"/>
  <c r="P46" i="1"/>
  <c r="R45" i="1"/>
  <c r="A55" i="1"/>
  <c r="B54" i="1"/>
  <c r="C54" i="1"/>
  <c r="H47" i="1"/>
  <c r="G47" i="1"/>
  <c r="AT43" i="1" l="1"/>
  <c r="AR43" i="1" s="1"/>
  <c r="X43" i="1"/>
  <c r="V43" i="1" s="1"/>
  <c r="AQ44" i="1"/>
  <c r="AK46" i="1"/>
  <c r="AM46" i="1"/>
  <c r="AL46" i="1"/>
  <c r="N47" i="1"/>
  <c r="M47" i="1"/>
  <c r="L47" i="1"/>
  <c r="D50" i="1"/>
  <c r="I49" i="1" s="1"/>
  <c r="J49" i="1" s="1"/>
  <c r="F49" i="1"/>
  <c r="E49" i="1"/>
  <c r="K48" i="1" s="1"/>
  <c r="AP44" i="1"/>
  <c r="AS44" i="1" s="1"/>
  <c r="I48" i="1"/>
  <c r="J48" i="1" s="1"/>
  <c r="AJ47" i="1"/>
  <c r="AH47" i="1"/>
  <c r="AE48" i="1"/>
  <c r="AF48" i="1" s="1"/>
  <c r="AH48" i="1" s="1"/>
  <c r="AB49" i="1"/>
  <c r="AA49" i="1"/>
  <c r="AG48" i="1" s="1"/>
  <c r="AN45" i="1"/>
  <c r="AC48" i="1"/>
  <c r="AD48" i="1"/>
  <c r="Z50" i="1"/>
  <c r="AO45" i="1"/>
  <c r="R46" i="1"/>
  <c r="T45" i="1"/>
  <c r="W45" i="1" s="1"/>
  <c r="U45" i="1"/>
  <c r="S46" i="1"/>
  <c r="G48" i="1"/>
  <c r="H48" i="1"/>
  <c r="A56" i="1"/>
  <c r="B55" i="1"/>
  <c r="C55" i="1"/>
  <c r="AO46" i="1" l="1"/>
  <c r="AK47" i="1"/>
  <c r="Q47" i="1"/>
  <c r="AN46" i="1"/>
  <c r="AQ46" i="1" s="1"/>
  <c r="AJ48" i="1"/>
  <c r="D51" i="1"/>
  <c r="I50" i="1" s="1"/>
  <c r="J50" i="1" s="1"/>
  <c r="F50" i="1"/>
  <c r="E50" i="1"/>
  <c r="K49" i="1" s="1"/>
  <c r="L48" i="1"/>
  <c r="N48" i="1"/>
  <c r="M48" i="1"/>
  <c r="P47" i="1"/>
  <c r="O47" i="1"/>
  <c r="AT44" i="1"/>
  <c r="AR44" i="1" s="1"/>
  <c r="AM47" i="1"/>
  <c r="AN47" i="1" s="1"/>
  <c r="AL47" i="1"/>
  <c r="AI48" i="1"/>
  <c r="AE49" i="1"/>
  <c r="AF49" i="1" s="1"/>
  <c r="AH49" i="1" s="1"/>
  <c r="AB50" i="1"/>
  <c r="AA50" i="1"/>
  <c r="AG49" i="1" s="1"/>
  <c r="AQ45" i="1"/>
  <c r="AC49" i="1"/>
  <c r="AD49" i="1"/>
  <c r="AP45" i="1"/>
  <c r="AS45" i="1" s="1"/>
  <c r="T46" i="1"/>
  <c r="W46" i="1" s="1"/>
  <c r="Z51" i="1"/>
  <c r="U46" i="1"/>
  <c r="X45" i="1"/>
  <c r="V45" i="1" s="1"/>
  <c r="L49" i="1"/>
  <c r="N49" i="1"/>
  <c r="M49" i="1"/>
  <c r="A57" i="1"/>
  <c r="B56" i="1"/>
  <c r="C56" i="1"/>
  <c r="G49" i="1"/>
  <c r="H49" i="1"/>
  <c r="AK48" i="1" l="1"/>
  <c r="Q48" i="1"/>
  <c r="Q49" i="1"/>
  <c r="AP46" i="1"/>
  <c r="AS46" i="1" s="1"/>
  <c r="AO47" i="1"/>
  <c r="AP47" i="1" s="1"/>
  <c r="AS47" i="1" s="1"/>
  <c r="R47" i="1"/>
  <c r="O48" i="1"/>
  <c r="P48" i="1"/>
  <c r="S47" i="1"/>
  <c r="F51" i="1"/>
  <c r="E51" i="1"/>
  <c r="K50" i="1" s="1"/>
  <c r="D52" i="1"/>
  <c r="AM48" i="1"/>
  <c r="AL48" i="1"/>
  <c r="AJ49" i="1"/>
  <c r="AI49" i="1"/>
  <c r="AE50" i="1"/>
  <c r="AF50" i="1" s="1"/>
  <c r="AH50" i="1" s="1"/>
  <c r="AA51" i="1"/>
  <c r="AG50" i="1" s="1"/>
  <c r="AB51" i="1"/>
  <c r="AT45" i="1"/>
  <c r="AR45" i="1" s="1"/>
  <c r="X46" i="1"/>
  <c r="V46" i="1" s="1"/>
  <c r="Z52" i="1"/>
  <c r="AC50" i="1"/>
  <c r="AD50" i="1"/>
  <c r="L50" i="1"/>
  <c r="N50" i="1"/>
  <c r="M50" i="1"/>
  <c r="P49" i="1"/>
  <c r="O49" i="1"/>
  <c r="G50" i="1"/>
  <c r="H50" i="1"/>
  <c r="A58" i="1"/>
  <c r="B57" i="1"/>
  <c r="C57" i="1"/>
  <c r="AQ47" i="1" l="1"/>
  <c r="AT47" i="1" s="1"/>
  <c r="AR47" i="1" s="1"/>
  <c r="U47" i="1"/>
  <c r="Q50" i="1"/>
  <c r="AT46" i="1"/>
  <c r="AR46" i="1" s="1"/>
  <c r="S48" i="1"/>
  <c r="T47" i="1"/>
  <c r="R48" i="1"/>
  <c r="E52" i="1"/>
  <c r="K51" i="1" s="1"/>
  <c r="D53" i="1"/>
  <c r="F52" i="1"/>
  <c r="I51" i="1"/>
  <c r="J51" i="1" s="1"/>
  <c r="AO48" i="1"/>
  <c r="AN48" i="1"/>
  <c r="AK49" i="1"/>
  <c r="AL49" i="1"/>
  <c r="AM49" i="1"/>
  <c r="AJ50" i="1"/>
  <c r="AI50" i="1"/>
  <c r="AE51" i="1"/>
  <c r="AF51" i="1" s="1"/>
  <c r="AH51" i="1" s="1"/>
  <c r="AA52" i="1"/>
  <c r="AG51" i="1" s="1"/>
  <c r="AB52" i="1"/>
  <c r="AC51" i="1"/>
  <c r="AD51" i="1"/>
  <c r="Z53" i="1"/>
  <c r="R49" i="1"/>
  <c r="O50" i="1"/>
  <c r="P50" i="1"/>
  <c r="S49" i="1"/>
  <c r="A59" i="1"/>
  <c r="B58" i="1"/>
  <c r="C58" i="1"/>
  <c r="H51" i="1"/>
  <c r="G51" i="1"/>
  <c r="AP48" i="1" l="1"/>
  <c r="AS48" i="1" s="1"/>
  <c r="N51" i="1"/>
  <c r="M51" i="1"/>
  <c r="L51" i="1"/>
  <c r="E53" i="1"/>
  <c r="K52" i="1" s="1"/>
  <c r="F53" i="1"/>
  <c r="D54" i="1"/>
  <c r="I52" i="1"/>
  <c r="J52" i="1" s="1"/>
  <c r="AQ48" i="1"/>
  <c r="T48" i="1"/>
  <c r="U48" i="1"/>
  <c r="W47" i="1"/>
  <c r="X47" i="1"/>
  <c r="AO49" i="1"/>
  <c r="AM50" i="1"/>
  <c r="AN49" i="1"/>
  <c r="AI51" i="1"/>
  <c r="AJ51" i="1"/>
  <c r="AK50" i="1"/>
  <c r="AL50" i="1"/>
  <c r="AE52" i="1"/>
  <c r="AF52" i="1" s="1"/>
  <c r="AI52" i="1" s="1"/>
  <c r="AA53" i="1"/>
  <c r="AG52" i="1" s="1"/>
  <c r="AB53" i="1"/>
  <c r="S50" i="1"/>
  <c r="T49" i="1"/>
  <c r="W49" i="1" s="1"/>
  <c r="AC52" i="1"/>
  <c r="AD52" i="1"/>
  <c r="Z54" i="1"/>
  <c r="U49" i="1"/>
  <c r="R50" i="1"/>
  <c r="A60" i="1"/>
  <c r="C59" i="1"/>
  <c r="B59" i="1"/>
  <c r="G52" i="1"/>
  <c r="H52" i="1"/>
  <c r="AT48" i="1" l="1"/>
  <c r="AR48" i="1" s="1"/>
  <c r="Q51" i="1"/>
  <c r="V47" i="1"/>
  <c r="AQ49" i="1"/>
  <c r="L52" i="1"/>
  <c r="M52" i="1"/>
  <c r="N52" i="1"/>
  <c r="E54" i="1"/>
  <c r="K53" i="1" s="1"/>
  <c r="F54" i="1"/>
  <c r="D55" i="1"/>
  <c r="P51" i="1"/>
  <c r="O51" i="1"/>
  <c r="AO50" i="1"/>
  <c r="I53" i="1"/>
  <c r="J53" i="1" s="1"/>
  <c r="N53" i="1" s="1"/>
  <c r="W48" i="1"/>
  <c r="X48" i="1"/>
  <c r="AN50" i="1"/>
  <c r="AP49" i="1"/>
  <c r="AS49" i="1" s="1"/>
  <c r="AK51" i="1"/>
  <c r="AL51" i="1"/>
  <c r="AM51" i="1"/>
  <c r="AJ52" i="1"/>
  <c r="AH52" i="1"/>
  <c r="AE53" i="1"/>
  <c r="AF53" i="1" s="1"/>
  <c r="AH53" i="1" s="1"/>
  <c r="AA54" i="1"/>
  <c r="AG53" i="1" s="1"/>
  <c r="AB54" i="1"/>
  <c r="X49" i="1"/>
  <c r="V49" i="1" s="1"/>
  <c r="Z55" i="1"/>
  <c r="AC53" i="1"/>
  <c r="AD53" i="1"/>
  <c r="T50" i="1"/>
  <c r="W50" i="1" s="1"/>
  <c r="U50" i="1"/>
  <c r="G53" i="1"/>
  <c r="H53" i="1"/>
  <c r="A61" i="1"/>
  <c r="B60" i="1"/>
  <c r="C60" i="1"/>
  <c r="L53" i="1" l="1"/>
  <c r="AQ50" i="1"/>
  <c r="V48" i="1"/>
  <c r="M53" i="1"/>
  <c r="Q53" i="1" s="1"/>
  <c r="Q52" i="1"/>
  <c r="AO51" i="1"/>
  <c r="S51" i="1"/>
  <c r="AP50" i="1"/>
  <c r="AS50" i="1" s="1"/>
  <c r="D56" i="1"/>
  <c r="F55" i="1"/>
  <c r="E55" i="1"/>
  <c r="K54" i="1" s="1"/>
  <c r="AT49" i="1"/>
  <c r="AR49" i="1" s="1"/>
  <c r="O52" i="1"/>
  <c r="P52" i="1"/>
  <c r="R51" i="1"/>
  <c r="I54" i="1"/>
  <c r="J54" i="1" s="1"/>
  <c r="AJ53" i="1"/>
  <c r="AL52" i="1"/>
  <c r="AK52" i="1"/>
  <c r="AM52" i="1"/>
  <c r="AN51" i="1"/>
  <c r="AI53" i="1"/>
  <c r="AE54" i="1"/>
  <c r="AF54" i="1" s="1"/>
  <c r="AH54" i="1" s="1"/>
  <c r="AA55" i="1"/>
  <c r="AG54" i="1" s="1"/>
  <c r="AB55" i="1"/>
  <c r="X50" i="1"/>
  <c r="V50" i="1" s="1"/>
  <c r="AC54" i="1"/>
  <c r="AD54" i="1"/>
  <c r="Z56" i="1"/>
  <c r="G54" i="1"/>
  <c r="H54" i="1"/>
  <c r="A62" i="1"/>
  <c r="B61" i="1"/>
  <c r="C61" i="1"/>
  <c r="P53" i="1" l="1"/>
  <c r="S53" i="1" s="1"/>
  <c r="O53" i="1"/>
  <c r="R53" i="1" s="1"/>
  <c r="AT50" i="1"/>
  <c r="AR50" i="1" s="1"/>
  <c r="AP51" i="1"/>
  <c r="AS51" i="1" s="1"/>
  <c r="S52" i="1"/>
  <c r="AO52" i="1"/>
  <c r="AL53" i="1"/>
  <c r="R52" i="1"/>
  <c r="U51" i="1"/>
  <c r="T51" i="1"/>
  <c r="M54" i="1"/>
  <c r="N54" i="1"/>
  <c r="L54" i="1"/>
  <c r="D57" i="1"/>
  <c r="F56" i="1"/>
  <c r="E56" i="1"/>
  <c r="K55" i="1" s="1"/>
  <c r="I55" i="1"/>
  <c r="J55" i="1" s="1"/>
  <c r="AQ51" i="1"/>
  <c r="AN52" i="1"/>
  <c r="AK53" i="1"/>
  <c r="AM53" i="1"/>
  <c r="AI54" i="1"/>
  <c r="AJ54" i="1"/>
  <c r="AE55" i="1"/>
  <c r="AF55" i="1" s="1"/>
  <c r="AH55" i="1" s="1"/>
  <c r="AB56" i="1"/>
  <c r="AA56" i="1"/>
  <c r="AG55" i="1" s="1"/>
  <c r="AC55" i="1"/>
  <c r="AD55" i="1"/>
  <c r="Z57" i="1"/>
  <c r="G55" i="1"/>
  <c r="H55" i="1"/>
  <c r="A63" i="1"/>
  <c r="B62" i="1"/>
  <c r="C62" i="1"/>
  <c r="AT51" i="1" l="1"/>
  <c r="AR51" i="1" s="1"/>
  <c r="AQ52" i="1"/>
  <c r="AP52" i="1"/>
  <c r="AS52" i="1" s="1"/>
  <c r="Q54" i="1"/>
  <c r="AO53" i="1"/>
  <c r="D58" i="1"/>
  <c r="I57" i="1" s="1"/>
  <c r="J57" i="1" s="1"/>
  <c r="F57" i="1"/>
  <c r="E57" i="1"/>
  <c r="K56" i="1" s="1"/>
  <c r="O54" i="1"/>
  <c r="P54" i="1"/>
  <c r="W51" i="1"/>
  <c r="X51" i="1"/>
  <c r="I56" i="1"/>
  <c r="J56" i="1" s="1"/>
  <c r="N56" i="1" s="1"/>
  <c r="N55" i="1"/>
  <c r="L55" i="1"/>
  <c r="M55" i="1"/>
  <c r="U52" i="1"/>
  <c r="T52" i="1"/>
  <c r="AN53" i="1"/>
  <c r="AI55" i="1"/>
  <c r="AK54" i="1"/>
  <c r="AJ55" i="1"/>
  <c r="AM54" i="1"/>
  <c r="AL54" i="1"/>
  <c r="AE56" i="1"/>
  <c r="AF56" i="1" s="1"/>
  <c r="AI56" i="1" s="1"/>
  <c r="AB57" i="1"/>
  <c r="AA57" i="1"/>
  <c r="AG56" i="1" s="1"/>
  <c r="AT52" i="1"/>
  <c r="AR52" i="1" s="1"/>
  <c r="AC56" i="1"/>
  <c r="AD56" i="1"/>
  <c r="Z58" i="1"/>
  <c r="T53" i="1"/>
  <c r="W53" i="1" s="1"/>
  <c r="U53" i="1"/>
  <c r="A64" i="1"/>
  <c r="C63" i="1"/>
  <c r="B63" i="1"/>
  <c r="G56" i="1"/>
  <c r="H56" i="1"/>
  <c r="AP53" i="1" l="1"/>
  <c r="AS53" i="1" s="1"/>
  <c r="V51" i="1"/>
  <c r="M56" i="1"/>
  <c r="L56" i="1"/>
  <c r="P56" i="1" s="1"/>
  <c r="Q55" i="1"/>
  <c r="R54" i="1"/>
  <c r="AQ53" i="1"/>
  <c r="W52" i="1"/>
  <c r="X52" i="1"/>
  <c r="S54" i="1"/>
  <c r="P55" i="1"/>
  <c r="O55" i="1"/>
  <c r="E58" i="1"/>
  <c r="K57" i="1" s="1"/>
  <c r="F58" i="1"/>
  <c r="D59" i="1"/>
  <c r="I58" i="1" s="1"/>
  <c r="J58" i="1" s="1"/>
  <c r="AL55" i="1"/>
  <c r="AN54" i="1"/>
  <c r="AK55" i="1"/>
  <c r="AM55" i="1"/>
  <c r="AO54" i="1"/>
  <c r="AH56" i="1"/>
  <c r="AJ56" i="1"/>
  <c r="AE57" i="1"/>
  <c r="AF57" i="1" s="1"/>
  <c r="AJ57" i="1" s="1"/>
  <c r="AB58" i="1"/>
  <c r="AA58" i="1"/>
  <c r="AG57" i="1" s="1"/>
  <c r="AC57" i="1"/>
  <c r="AD57" i="1"/>
  <c r="Z59" i="1"/>
  <c r="X53" i="1"/>
  <c r="V53" i="1" s="1"/>
  <c r="L57" i="1"/>
  <c r="N57" i="1"/>
  <c r="M57" i="1"/>
  <c r="G57" i="1"/>
  <c r="H57" i="1"/>
  <c r="A65" i="1"/>
  <c r="B64" i="1"/>
  <c r="C64" i="1"/>
  <c r="AT53" i="1" l="1"/>
  <c r="AR53" i="1" s="1"/>
  <c r="O56" i="1"/>
  <c r="AO55" i="1"/>
  <c r="R55" i="1"/>
  <c r="Q56" i="1"/>
  <c r="S56" i="1" s="1"/>
  <c r="V52" i="1"/>
  <c r="Q57" i="1"/>
  <c r="S55" i="1"/>
  <c r="U55" i="1" s="1"/>
  <c r="AN55" i="1"/>
  <c r="T54" i="1"/>
  <c r="U54" i="1"/>
  <c r="D60" i="1"/>
  <c r="E59" i="1"/>
  <c r="K58" i="1" s="1"/>
  <c r="F59" i="1"/>
  <c r="AP54" i="1"/>
  <c r="AS54" i="1" s="1"/>
  <c r="AM56" i="1"/>
  <c r="AQ54" i="1"/>
  <c r="AK56" i="1"/>
  <c r="AL56" i="1"/>
  <c r="AI57" i="1"/>
  <c r="AH57" i="1"/>
  <c r="AE58" i="1"/>
  <c r="AF58" i="1" s="1"/>
  <c r="AH58" i="1" s="1"/>
  <c r="AA59" i="1"/>
  <c r="AG58" i="1" s="1"/>
  <c r="AB59" i="1"/>
  <c r="AC58" i="1"/>
  <c r="AD58" i="1"/>
  <c r="Z60" i="1"/>
  <c r="L58" i="1"/>
  <c r="M58" i="1"/>
  <c r="N58" i="1"/>
  <c r="P57" i="1"/>
  <c r="O57" i="1"/>
  <c r="A66" i="1"/>
  <c r="B65" i="1"/>
  <c r="C65" i="1"/>
  <c r="G58" i="1"/>
  <c r="H58" i="1"/>
  <c r="AP55" i="1" l="1"/>
  <c r="AS55" i="1" s="1"/>
  <c r="R56" i="1"/>
  <c r="AQ55" i="1"/>
  <c r="Q58" i="1"/>
  <c r="T55" i="1"/>
  <c r="W55" i="1" s="1"/>
  <c r="AN56" i="1"/>
  <c r="D61" i="1"/>
  <c r="I60" i="1" s="1"/>
  <c r="J60" i="1" s="1"/>
  <c r="E60" i="1"/>
  <c r="K59" i="1" s="1"/>
  <c r="F60" i="1"/>
  <c r="I59" i="1"/>
  <c r="J59" i="1" s="1"/>
  <c r="AO56" i="1"/>
  <c r="W54" i="1"/>
  <c r="X54" i="1"/>
  <c r="AT54" i="1"/>
  <c r="AR54" i="1" s="1"/>
  <c r="AJ58" i="1"/>
  <c r="AM57" i="1"/>
  <c r="AK57" i="1"/>
  <c r="AL57" i="1"/>
  <c r="AI58" i="1"/>
  <c r="AA60" i="1"/>
  <c r="AG59" i="1" s="1"/>
  <c r="AB60" i="1"/>
  <c r="AT55" i="1"/>
  <c r="AR55" i="1" s="1"/>
  <c r="Z61" i="1"/>
  <c r="AC59" i="1"/>
  <c r="AD59" i="1"/>
  <c r="U56" i="1"/>
  <c r="AE59" i="1"/>
  <c r="AF59" i="1" s="1"/>
  <c r="T56" i="1"/>
  <c r="S57" i="1"/>
  <c r="R57" i="1"/>
  <c r="O58" i="1"/>
  <c r="P58" i="1"/>
  <c r="G59" i="1"/>
  <c r="H59" i="1"/>
  <c r="A67" i="1"/>
  <c r="B66" i="1"/>
  <c r="C66" i="1"/>
  <c r="X55" i="1" l="1"/>
  <c r="AN57" i="1"/>
  <c r="AO57" i="1"/>
  <c r="V54" i="1"/>
  <c r="V55" i="1"/>
  <c r="AQ56" i="1"/>
  <c r="AP56" i="1"/>
  <c r="AS56" i="1" s="1"/>
  <c r="L59" i="1"/>
  <c r="M59" i="1"/>
  <c r="N59" i="1"/>
  <c r="F61" i="1"/>
  <c r="D62" i="1"/>
  <c r="I61" i="1" s="1"/>
  <c r="J61" i="1" s="1"/>
  <c r="E61" i="1"/>
  <c r="K60" i="1" s="1"/>
  <c r="AK58" i="1"/>
  <c r="AL58" i="1"/>
  <c r="AM58" i="1"/>
  <c r="AE60" i="1"/>
  <c r="AF60" i="1" s="1"/>
  <c r="AH60" i="1" s="1"/>
  <c r="AA61" i="1"/>
  <c r="AG60" i="1" s="1"/>
  <c r="AB61" i="1"/>
  <c r="X56" i="1"/>
  <c r="W56" i="1"/>
  <c r="U57" i="1"/>
  <c r="AJ59" i="1"/>
  <c r="AH59" i="1"/>
  <c r="AI59" i="1"/>
  <c r="AC60" i="1"/>
  <c r="AD60" i="1"/>
  <c r="Z62" i="1"/>
  <c r="AQ57" i="1"/>
  <c r="AP57" i="1"/>
  <c r="AS57" i="1" s="1"/>
  <c r="S58" i="1"/>
  <c r="T57" i="1"/>
  <c r="W57" i="1" s="1"/>
  <c r="L60" i="1"/>
  <c r="M60" i="1"/>
  <c r="N60" i="1"/>
  <c r="R58" i="1"/>
  <c r="A68" i="1"/>
  <c r="B67" i="1"/>
  <c r="C67" i="1"/>
  <c r="G60" i="1"/>
  <c r="H60" i="1"/>
  <c r="V56" i="1" l="1"/>
  <c r="AT56" i="1"/>
  <c r="AR56" i="1" s="1"/>
  <c r="Q60" i="1"/>
  <c r="Q59" i="1"/>
  <c r="AI60" i="1"/>
  <c r="AJ60" i="1"/>
  <c r="E62" i="1"/>
  <c r="K61" i="1" s="1"/>
  <c r="F62" i="1"/>
  <c r="D63" i="1"/>
  <c r="I62" i="1" s="1"/>
  <c r="J62" i="1" s="1"/>
  <c r="AN58" i="1"/>
  <c r="O59" i="1"/>
  <c r="P59" i="1"/>
  <c r="AO58" i="1"/>
  <c r="AE61" i="1"/>
  <c r="AF61" i="1" s="1"/>
  <c r="AI61" i="1" s="1"/>
  <c r="AA62" i="1"/>
  <c r="AG61" i="1" s="1"/>
  <c r="AB62" i="1"/>
  <c r="X57" i="1"/>
  <c r="V57" i="1" s="1"/>
  <c r="AT57" i="1"/>
  <c r="AR57" i="1" s="1"/>
  <c r="AK59" i="1"/>
  <c r="AL59" i="1"/>
  <c r="AM59" i="1"/>
  <c r="Z63" i="1"/>
  <c r="AC61" i="1"/>
  <c r="AD61" i="1"/>
  <c r="T58" i="1"/>
  <c r="W58" i="1" s="1"/>
  <c r="U58" i="1"/>
  <c r="L61" i="1"/>
  <c r="M61" i="1"/>
  <c r="N61" i="1"/>
  <c r="O60" i="1"/>
  <c r="P60" i="1"/>
  <c r="G61" i="1"/>
  <c r="H61" i="1"/>
  <c r="A69" i="1"/>
  <c r="B68" i="1"/>
  <c r="C68" i="1"/>
  <c r="AL60" i="1" l="1"/>
  <c r="AM60" i="1"/>
  <c r="AO60" i="1" s="1"/>
  <c r="Q61" i="1"/>
  <c r="AK60" i="1"/>
  <c r="AH61" i="1"/>
  <c r="AJ61" i="1"/>
  <c r="S59" i="1"/>
  <c r="AP58" i="1"/>
  <c r="AS58" i="1" s="1"/>
  <c r="R59" i="1"/>
  <c r="F63" i="1"/>
  <c r="D64" i="1"/>
  <c r="I63" i="1" s="1"/>
  <c r="J63" i="1" s="1"/>
  <c r="E63" i="1"/>
  <c r="K62" i="1" s="1"/>
  <c r="AQ58" i="1"/>
  <c r="AE62" i="1"/>
  <c r="AF62" i="1" s="1"/>
  <c r="AJ62" i="1" s="1"/>
  <c r="AA63" i="1"/>
  <c r="AG62" i="1" s="1"/>
  <c r="AB63" i="1"/>
  <c r="AO59" i="1"/>
  <c r="AC62" i="1"/>
  <c r="AD62" i="1"/>
  <c r="AN59" i="1"/>
  <c r="Z64" i="1"/>
  <c r="X58" i="1"/>
  <c r="V58" i="1" s="1"/>
  <c r="S60" i="1"/>
  <c r="L62" i="1"/>
  <c r="N62" i="1"/>
  <c r="M62" i="1"/>
  <c r="R60" i="1"/>
  <c r="O61" i="1"/>
  <c r="P61" i="1"/>
  <c r="A70" i="1"/>
  <c r="B69" i="1"/>
  <c r="C69" i="1"/>
  <c r="G62" i="1"/>
  <c r="H62" i="1"/>
  <c r="AN60" i="1" l="1"/>
  <c r="AQ60" i="1" s="1"/>
  <c r="AL61" i="1"/>
  <c r="AK61" i="1"/>
  <c r="Q62" i="1"/>
  <c r="AM61" i="1"/>
  <c r="AT58" i="1"/>
  <c r="AR58" i="1" s="1"/>
  <c r="AH62" i="1"/>
  <c r="AI62" i="1"/>
  <c r="D65" i="1"/>
  <c r="F64" i="1"/>
  <c r="E64" i="1"/>
  <c r="K63" i="1" s="1"/>
  <c r="T59" i="1"/>
  <c r="U59" i="1"/>
  <c r="AE63" i="1"/>
  <c r="AF63" i="1" s="1"/>
  <c r="AI63" i="1" s="1"/>
  <c r="AB64" i="1"/>
  <c r="AA64" i="1"/>
  <c r="AG63" i="1" s="1"/>
  <c r="AC63" i="1"/>
  <c r="AD63" i="1"/>
  <c r="AP60" i="1"/>
  <c r="AS60" i="1" s="1"/>
  <c r="Z65" i="1"/>
  <c r="S61" i="1"/>
  <c r="AQ59" i="1"/>
  <c r="AP59" i="1"/>
  <c r="AS59" i="1" s="1"/>
  <c r="T60" i="1"/>
  <c r="W60" i="1" s="1"/>
  <c r="U60" i="1"/>
  <c r="L63" i="1"/>
  <c r="N63" i="1"/>
  <c r="M63" i="1"/>
  <c r="R61" i="1"/>
  <c r="O62" i="1"/>
  <c r="P62" i="1"/>
  <c r="G63" i="1"/>
  <c r="H63" i="1"/>
  <c r="A71" i="1"/>
  <c r="B70" i="1"/>
  <c r="C70" i="1"/>
  <c r="AK62" i="1" l="1"/>
  <c r="AO61" i="1"/>
  <c r="AN61" i="1"/>
  <c r="AM62" i="1"/>
  <c r="AL62" i="1"/>
  <c r="Q63" i="1"/>
  <c r="AH63" i="1"/>
  <c r="W59" i="1"/>
  <c r="X59" i="1"/>
  <c r="F65" i="1"/>
  <c r="D66" i="1"/>
  <c r="I65" i="1" s="1"/>
  <c r="J65" i="1" s="1"/>
  <c r="E65" i="1"/>
  <c r="K64" i="1" s="1"/>
  <c r="I64" i="1"/>
  <c r="J64" i="1" s="1"/>
  <c r="AE64" i="1"/>
  <c r="AF64" i="1" s="1"/>
  <c r="AJ64" i="1" s="1"/>
  <c r="AB65" i="1"/>
  <c r="AA65" i="1"/>
  <c r="AG64" i="1" s="1"/>
  <c r="AJ63" i="1"/>
  <c r="AT59" i="1"/>
  <c r="AR59" i="1" s="1"/>
  <c r="AP61" i="1"/>
  <c r="AS61" i="1" s="1"/>
  <c r="AQ61" i="1"/>
  <c r="AO62" i="1"/>
  <c r="AN62" i="1"/>
  <c r="AC64" i="1"/>
  <c r="AD64" i="1"/>
  <c r="Z66" i="1"/>
  <c r="AT60" i="1"/>
  <c r="AR60" i="1" s="1"/>
  <c r="X60" i="1"/>
  <c r="V60" i="1" s="1"/>
  <c r="T61" i="1"/>
  <c r="W61" i="1" s="1"/>
  <c r="U61" i="1"/>
  <c r="S62" i="1"/>
  <c r="P63" i="1"/>
  <c r="O63" i="1"/>
  <c r="R62" i="1"/>
  <c r="A72" i="1"/>
  <c r="B71" i="1"/>
  <c r="C71" i="1"/>
  <c r="G64" i="1"/>
  <c r="H64" i="1"/>
  <c r="V59" i="1" l="1"/>
  <c r="AK63" i="1"/>
  <c r="N64" i="1"/>
  <c r="M64" i="1"/>
  <c r="L64" i="1"/>
  <c r="E66" i="1"/>
  <c r="K65" i="1" s="1"/>
  <c r="D67" i="1"/>
  <c r="F66" i="1"/>
  <c r="AH64" i="1"/>
  <c r="AI64" i="1"/>
  <c r="AM63" i="1"/>
  <c r="AL63" i="1"/>
  <c r="AE65" i="1"/>
  <c r="AF65" i="1" s="1"/>
  <c r="AI65" i="1" s="1"/>
  <c r="AB66" i="1"/>
  <c r="AA66" i="1"/>
  <c r="AG65" i="1" s="1"/>
  <c r="AT61" i="1"/>
  <c r="AR61" i="1" s="1"/>
  <c r="AC65" i="1"/>
  <c r="AD65" i="1"/>
  <c r="Z67" i="1"/>
  <c r="X61" i="1"/>
  <c r="V61" i="1" s="1"/>
  <c r="AP62" i="1"/>
  <c r="AS62" i="1" s="1"/>
  <c r="AQ62" i="1"/>
  <c r="S63" i="1"/>
  <c r="T62" i="1"/>
  <c r="W62" i="1" s="1"/>
  <c r="U62" i="1"/>
  <c r="R63" i="1"/>
  <c r="L65" i="1"/>
  <c r="N65" i="1"/>
  <c r="M65" i="1"/>
  <c r="G65" i="1"/>
  <c r="H65" i="1"/>
  <c r="A73" i="1"/>
  <c r="B72" i="1"/>
  <c r="C72" i="1"/>
  <c r="Q64" i="1" l="1"/>
  <c r="Q65" i="1"/>
  <c r="AL64" i="1"/>
  <c r="AM64" i="1"/>
  <c r="AO64" i="1" s="1"/>
  <c r="AJ65" i="1"/>
  <c r="AH65" i="1"/>
  <c r="D68" i="1"/>
  <c r="I67" i="1" s="1"/>
  <c r="J67" i="1" s="1"/>
  <c r="F67" i="1"/>
  <c r="E67" i="1"/>
  <c r="K66" i="1" s="1"/>
  <c r="I66" i="1"/>
  <c r="J66" i="1" s="1"/>
  <c r="O64" i="1"/>
  <c r="P64" i="1"/>
  <c r="AK64" i="1"/>
  <c r="AN64" i="1" s="1"/>
  <c r="AO63" i="1"/>
  <c r="AN63" i="1"/>
  <c r="AE66" i="1"/>
  <c r="AF66" i="1" s="1"/>
  <c r="AH66" i="1" s="1"/>
  <c r="AA67" i="1"/>
  <c r="AG66" i="1" s="1"/>
  <c r="AB67" i="1"/>
  <c r="AT62" i="1"/>
  <c r="AR62" i="1" s="1"/>
  <c r="Z68" i="1"/>
  <c r="AC66" i="1"/>
  <c r="AD66" i="1"/>
  <c r="X62" i="1"/>
  <c r="V62" i="1" s="1"/>
  <c r="T63" i="1"/>
  <c r="W63" i="1" s="1"/>
  <c r="U63" i="1"/>
  <c r="P65" i="1"/>
  <c r="O65" i="1"/>
  <c r="A74" i="1"/>
  <c r="C73" i="1"/>
  <c r="B73" i="1"/>
  <c r="G66" i="1"/>
  <c r="H66" i="1"/>
  <c r="AK65" i="1" l="1"/>
  <c r="AQ63" i="1"/>
  <c r="AM65" i="1"/>
  <c r="AL65" i="1"/>
  <c r="AO65" i="1" s="1"/>
  <c r="AI66" i="1"/>
  <c r="AJ66" i="1"/>
  <c r="AL66" i="1" s="1"/>
  <c r="AP63" i="1"/>
  <c r="AS63" i="1" s="1"/>
  <c r="S64" i="1"/>
  <c r="R64" i="1"/>
  <c r="L66" i="1"/>
  <c r="N66" i="1"/>
  <c r="M66" i="1"/>
  <c r="D69" i="1"/>
  <c r="I68" i="1" s="1"/>
  <c r="J68" i="1" s="1"/>
  <c r="E68" i="1"/>
  <c r="K67" i="1" s="1"/>
  <c r="F68" i="1"/>
  <c r="AE67" i="1"/>
  <c r="AF67" i="1" s="1"/>
  <c r="AJ67" i="1" s="1"/>
  <c r="AA68" i="1"/>
  <c r="AG67" i="1" s="1"/>
  <c r="AB68" i="1"/>
  <c r="Z69" i="1"/>
  <c r="AN65" i="1"/>
  <c r="AP64" i="1"/>
  <c r="AS64" i="1" s="1"/>
  <c r="AQ64" i="1"/>
  <c r="AC67" i="1"/>
  <c r="AD67" i="1"/>
  <c r="X63" i="1"/>
  <c r="V63" i="1" s="1"/>
  <c r="S65" i="1"/>
  <c r="R65" i="1"/>
  <c r="L67" i="1"/>
  <c r="N67" i="1"/>
  <c r="M67" i="1"/>
  <c r="H67" i="1"/>
  <c r="G67" i="1"/>
  <c r="A75" i="1"/>
  <c r="B74" i="1"/>
  <c r="C74" i="1"/>
  <c r="AM66" i="1" l="1"/>
  <c r="AK66" i="1"/>
  <c r="AN66" i="1" s="1"/>
  <c r="Q66" i="1"/>
  <c r="Q67" i="1"/>
  <c r="AT63" i="1"/>
  <c r="AR63" i="1" s="1"/>
  <c r="D70" i="1"/>
  <c r="E69" i="1"/>
  <c r="K68" i="1" s="1"/>
  <c r="F69" i="1"/>
  <c r="P66" i="1"/>
  <c r="O66" i="1"/>
  <c r="AI67" i="1"/>
  <c r="T64" i="1"/>
  <c r="U64" i="1"/>
  <c r="AH67" i="1"/>
  <c r="AE68" i="1"/>
  <c r="AF68" i="1" s="1"/>
  <c r="AH68" i="1" s="1"/>
  <c r="AA69" i="1"/>
  <c r="AG68" i="1" s="1"/>
  <c r="AB69" i="1"/>
  <c r="AC68" i="1"/>
  <c r="AD68" i="1"/>
  <c r="AT64" i="1"/>
  <c r="AR64" i="1" s="1"/>
  <c r="AP65" i="1"/>
  <c r="AS65" i="1" s="1"/>
  <c r="AQ65" i="1"/>
  <c r="Z70" i="1"/>
  <c r="AO66" i="1"/>
  <c r="U65" i="1"/>
  <c r="T65" i="1"/>
  <c r="W65" i="1" s="1"/>
  <c r="L68" i="1"/>
  <c r="M68" i="1"/>
  <c r="N68" i="1"/>
  <c r="P67" i="1"/>
  <c r="O67" i="1"/>
  <c r="A76" i="1"/>
  <c r="B75" i="1"/>
  <c r="C75" i="1"/>
  <c r="G68" i="1"/>
  <c r="H68" i="1"/>
  <c r="R66" i="1" l="1"/>
  <c r="S66" i="1"/>
  <c r="T66" i="1" s="1"/>
  <c r="W66" i="1" s="1"/>
  <c r="Q68" i="1"/>
  <c r="AM67" i="1"/>
  <c r="AL67" i="1"/>
  <c r="AK67" i="1"/>
  <c r="AN67" i="1" s="1"/>
  <c r="W64" i="1"/>
  <c r="X64" i="1"/>
  <c r="D71" i="1"/>
  <c r="I70" i="1" s="1"/>
  <c r="J70" i="1" s="1"/>
  <c r="F70" i="1"/>
  <c r="E70" i="1"/>
  <c r="K69" i="1" s="1"/>
  <c r="I69" i="1"/>
  <c r="J69" i="1" s="1"/>
  <c r="AI68" i="1"/>
  <c r="AJ68" i="1"/>
  <c r="AE69" i="1"/>
  <c r="AF69" i="1" s="1"/>
  <c r="AJ69" i="1" s="1"/>
  <c r="AA70" i="1"/>
  <c r="AG69" i="1" s="1"/>
  <c r="AB70" i="1"/>
  <c r="AP66" i="1"/>
  <c r="AS66" i="1" s="1"/>
  <c r="AQ66" i="1"/>
  <c r="AT65" i="1"/>
  <c r="AR65" i="1" s="1"/>
  <c r="Z71" i="1"/>
  <c r="X65" i="1"/>
  <c r="V65" i="1" s="1"/>
  <c r="AC69" i="1"/>
  <c r="AD69" i="1"/>
  <c r="S67" i="1"/>
  <c r="R67" i="1"/>
  <c r="O68" i="1"/>
  <c r="P68" i="1"/>
  <c r="A77" i="1"/>
  <c r="C76" i="1"/>
  <c r="B76" i="1"/>
  <c r="G69" i="1"/>
  <c r="H69" i="1"/>
  <c r="AO67" i="1" l="1"/>
  <c r="U66" i="1"/>
  <c r="X66" i="1" s="1"/>
  <c r="V66" i="1" s="1"/>
  <c r="V64" i="1"/>
  <c r="AK68" i="1"/>
  <c r="AI69" i="1"/>
  <c r="AH69" i="1"/>
  <c r="AL69" i="1" s="1"/>
  <c r="M69" i="1"/>
  <c r="N69" i="1"/>
  <c r="L69" i="1"/>
  <c r="D72" i="1"/>
  <c r="I71" i="1" s="1"/>
  <c r="J71" i="1" s="1"/>
  <c r="E71" i="1"/>
  <c r="K70" i="1" s="1"/>
  <c r="F71" i="1"/>
  <c r="AM68" i="1"/>
  <c r="AL68" i="1"/>
  <c r="AO68" i="1" s="1"/>
  <c r="AE70" i="1"/>
  <c r="AF70" i="1" s="1"/>
  <c r="AJ70" i="1" s="1"/>
  <c r="AA71" i="1"/>
  <c r="AG70" i="1" s="1"/>
  <c r="AB71" i="1"/>
  <c r="AT66" i="1"/>
  <c r="AR66" i="1" s="1"/>
  <c r="U67" i="1"/>
  <c r="AQ67" i="1"/>
  <c r="AP67" i="1"/>
  <c r="AS67" i="1" s="1"/>
  <c r="Z72" i="1"/>
  <c r="AC70" i="1"/>
  <c r="AD70" i="1"/>
  <c r="T67" i="1"/>
  <c r="W67" i="1" s="1"/>
  <c r="R68" i="1"/>
  <c r="L70" i="1"/>
  <c r="M70" i="1"/>
  <c r="N70" i="1"/>
  <c r="S68" i="1"/>
  <c r="G70" i="1"/>
  <c r="H70" i="1"/>
  <c r="A78" i="1"/>
  <c r="C77" i="1"/>
  <c r="B77" i="1"/>
  <c r="AM69" i="1" l="1"/>
  <c r="AN68" i="1"/>
  <c r="Q69" i="1"/>
  <c r="AK69" i="1"/>
  <c r="Q70" i="1"/>
  <c r="AH70" i="1"/>
  <c r="AI70" i="1"/>
  <c r="D73" i="1"/>
  <c r="I72" i="1" s="1"/>
  <c r="J72" i="1" s="1"/>
  <c r="E72" i="1"/>
  <c r="K71" i="1" s="1"/>
  <c r="F72" i="1"/>
  <c r="P69" i="1"/>
  <c r="O69" i="1"/>
  <c r="AE71" i="1"/>
  <c r="AF71" i="1" s="1"/>
  <c r="AI71" i="1" s="1"/>
  <c r="AB72" i="1"/>
  <c r="AA72" i="1"/>
  <c r="AG71" i="1" s="1"/>
  <c r="X67" i="1"/>
  <c r="V67" i="1" s="1"/>
  <c r="AT67" i="1"/>
  <c r="AR67" i="1" s="1"/>
  <c r="AC71" i="1"/>
  <c r="AD71" i="1"/>
  <c r="AQ68" i="1"/>
  <c r="AP68" i="1"/>
  <c r="AS68" i="1" s="1"/>
  <c r="Z73" i="1"/>
  <c r="AN69" i="1"/>
  <c r="AO69" i="1"/>
  <c r="U68" i="1"/>
  <c r="T68" i="1"/>
  <c r="W68" i="1" s="1"/>
  <c r="L71" i="1"/>
  <c r="M71" i="1"/>
  <c r="N71" i="1"/>
  <c r="O70" i="1"/>
  <c r="P70" i="1"/>
  <c r="A79" i="1"/>
  <c r="B78" i="1"/>
  <c r="C78" i="1"/>
  <c r="G71" i="1"/>
  <c r="H71" i="1"/>
  <c r="AM70" i="1" l="1"/>
  <c r="AL70" i="1"/>
  <c r="AK70" i="1"/>
  <c r="Q71" i="1"/>
  <c r="S69" i="1"/>
  <c r="AJ71" i="1"/>
  <c r="AH71" i="1"/>
  <c r="R69" i="1"/>
  <c r="D74" i="1"/>
  <c r="I73" i="1" s="1"/>
  <c r="J73" i="1" s="1"/>
  <c r="F73" i="1"/>
  <c r="E73" i="1"/>
  <c r="K72" i="1" s="1"/>
  <c r="AB73" i="1"/>
  <c r="AA73" i="1"/>
  <c r="AG72" i="1" s="1"/>
  <c r="AT68" i="1"/>
  <c r="AR68" i="1" s="1"/>
  <c r="X68" i="1"/>
  <c r="V68" i="1" s="1"/>
  <c r="AO70" i="1"/>
  <c r="AP69" i="1"/>
  <c r="AS69" i="1" s="1"/>
  <c r="AQ69" i="1"/>
  <c r="AN70" i="1"/>
  <c r="AC72" i="1"/>
  <c r="AD72" i="1"/>
  <c r="Z74" i="1"/>
  <c r="AE72" i="1"/>
  <c r="AF72" i="1" s="1"/>
  <c r="R70" i="1"/>
  <c r="S70" i="1"/>
  <c r="L72" i="1"/>
  <c r="N72" i="1"/>
  <c r="M72" i="1"/>
  <c r="P71" i="1"/>
  <c r="O71" i="1"/>
  <c r="G72" i="1"/>
  <c r="H72" i="1"/>
  <c r="A80" i="1"/>
  <c r="B79" i="1"/>
  <c r="C79" i="1"/>
  <c r="AM71" i="1" l="1"/>
  <c r="Q72" i="1"/>
  <c r="AL71" i="1"/>
  <c r="AK71" i="1"/>
  <c r="E74" i="1"/>
  <c r="K73" i="1" s="1"/>
  <c r="D75" i="1"/>
  <c r="I74" i="1" s="1"/>
  <c r="J74" i="1" s="1"/>
  <c r="F74" i="1"/>
  <c r="T69" i="1"/>
  <c r="U69" i="1"/>
  <c r="AE73" i="1"/>
  <c r="AF73" i="1" s="1"/>
  <c r="AI73" i="1" s="1"/>
  <c r="AB74" i="1"/>
  <c r="AA74" i="1"/>
  <c r="AG73" i="1" s="1"/>
  <c r="AO71" i="1"/>
  <c r="AN71" i="1"/>
  <c r="AJ72" i="1"/>
  <c r="AI72" i="1"/>
  <c r="AH72" i="1"/>
  <c r="AC73" i="1"/>
  <c r="AD73" i="1"/>
  <c r="AP70" i="1"/>
  <c r="AS70" i="1" s="1"/>
  <c r="AQ70" i="1"/>
  <c r="Z75" i="1"/>
  <c r="AT69" i="1"/>
  <c r="AR69" i="1" s="1"/>
  <c r="U70" i="1"/>
  <c r="T70" i="1"/>
  <c r="W70" i="1" s="1"/>
  <c r="S71" i="1"/>
  <c r="R71" i="1"/>
  <c r="L73" i="1"/>
  <c r="N73" i="1"/>
  <c r="M73" i="1"/>
  <c r="O72" i="1"/>
  <c r="P72" i="1"/>
  <c r="A81" i="1"/>
  <c r="C80" i="1"/>
  <c r="B80" i="1"/>
  <c r="G73" i="1"/>
  <c r="H73" i="1"/>
  <c r="Q73" i="1" l="1"/>
  <c r="AJ73" i="1"/>
  <c r="AH73" i="1"/>
  <c r="AM73" i="1" s="1"/>
  <c r="W69" i="1"/>
  <c r="X69" i="1"/>
  <c r="E75" i="1"/>
  <c r="K74" i="1" s="1"/>
  <c r="D76" i="1"/>
  <c r="F75" i="1"/>
  <c r="AE74" i="1"/>
  <c r="AF74" i="1" s="1"/>
  <c r="AJ74" i="1" s="1"/>
  <c r="AA75" i="1"/>
  <c r="AG74" i="1" s="1"/>
  <c r="AB75" i="1"/>
  <c r="X70" i="1"/>
  <c r="V70" i="1" s="1"/>
  <c r="AT70" i="1"/>
  <c r="AR70" i="1" s="1"/>
  <c r="AC74" i="1"/>
  <c r="AD74" i="1"/>
  <c r="AK72" i="1"/>
  <c r="AL72" i="1"/>
  <c r="AM72" i="1"/>
  <c r="Z76" i="1"/>
  <c r="AQ71" i="1"/>
  <c r="AP71" i="1"/>
  <c r="AS71" i="1" s="1"/>
  <c r="AK73" i="1"/>
  <c r="AL73" i="1"/>
  <c r="T71" i="1"/>
  <c r="W71" i="1" s="1"/>
  <c r="U71" i="1"/>
  <c r="R72" i="1"/>
  <c r="L74" i="1"/>
  <c r="M74" i="1"/>
  <c r="N74" i="1"/>
  <c r="S72" i="1"/>
  <c r="P73" i="1"/>
  <c r="O73" i="1"/>
  <c r="G74" i="1"/>
  <c r="H74" i="1"/>
  <c r="A82" i="1"/>
  <c r="C81" i="1"/>
  <c r="B81" i="1"/>
  <c r="V69" i="1" l="1"/>
  <c r="Q74" i="1"/>
  <c r="E76" i="1"/>
  <c r="K75" i="1" s="1"/>
  <c r="D77" i="1"/>
  <c r="F76" i="1"/>
  <c r="I75" i="1"/>
  <c r="J75" i="1" s="1"/>
  <c r="AH74" i="1"/>
  <c r="AI74" i="1"/>
  <c r="AE75" i="1"/>
  <c r="AF75" i="1" s="1"/>
  <c r="AI75" i="1" s="1"/>
  <c r="AA76" i="1"/>
  <c r="AG75" i="1" s="1"/>
  <c r="AB76" i="1"/>
  <c r="AT71" i="1"/>
  <c r="AR71" i="1" s="1"/>
  <c r="AO72" i="1"/>
  <c r="U72" i="1"/>
  <c r="AO73" i="1"/>
  <c r="Z77" i="1"/>
  <c r="AN73" i="1"/>
  <c r="AC75" i="1"/>
  <c r="AD75" i="1"/>
  <c r="AN72" i="1"/>
  <c r="X71" i="1"/>
  <c r="V71" i="1" s="1"/>
  <c r="T72" i="1"/>
  <c r="O74" i="1"/>
  <c r="P74" i="1"/>
  <c r="S73" i="1"/>
  <c r="R73" i="1"/>
  <c r="A83" i="1"/>
  <c r="B82" i="1"/>
  <c r="C82" i="1"/>
  <c r="G75" i="1"/>
  <c r="H75" i="1"/>
  <c r="AL74" i="1" l="1"/>
  <c r="AM74" i="1"/>
  <c r="AO74" i="1" s="1"/>
  <c r="AK74" i="1"/>
  <c r="M75" i="1"/>
  <c r="L75" i="1"/>
  <c r="N75" i="1"/>
  <c r="AH75" i="1"/>
  <c r="AJ75" i="1"/>
  <c r="D78" i="1"/>
  <c r="E77" i="1"/>
  <c r="K76" i="1" s="1"/>
  <c r="F77" i="1"/>
  <c r="I76" i="1"/>
  <c r="J76" i="1" s="1"/>
  <c r="AE76" i="1"/>
  <c r="AF76" i="1" s="1"/>
  <c r="AJ76" i="1" s="1"/>
  <c r="AA77" i="1"/>
  <c r="AG76" i="1" s="1"/>
  <c r="AB77" i="1"/>
  <c r="X72" i="1"/>
  <c r="W72" i="1"/>
  <c r="AQ72" i="1"/>
  <c r="AP72" i="1"/>
  <c r="AS72" i="1" s="1"/>
  <c r="AQ73" i="1"/>
  <c r="AP73" i="1"/>
  <c r="AS73" i="1" s="1"/>
  <c r="AC76" i="1"/>
  <c r="AD76" i="1"/>
  <c r="Z78" i="1"/>
  <c r="T73" i="1"/>
  <c r="W73" i="1" s="1"/>
  <c r="U73" i="1"/>
  <c r="S74" i="1"/>
  <c r="R74" i="1"/>
  <c r="G76" i="1"/>
  <c r="H76" i="1"/>
  <c r="A84" i="1"/>
  <c r="B83" i="1"/>
  <c r="C83" i="1"/>
  <c r="AI76" i="1" l="1"/>
  <c r="V72" i="1"/>
  <c r="AN74" i="1"/>
  <c r="Q75" i="1"/>
  <c r="AM75" i="1"/>
  <c r="AK75" i="1"/>
  <c r="AL75" i="1"/>
  <c r="E78" i="1"/>
  <c r="K77" i="1" s="1"/>
  <c r="F78" i="1"/>
  <c r="D79" i="1"/>
  <c r="I78" i="1" s="1"/>
  <c r="J78" i="1" s="1"/>
  <c r="AH76" i="1"/>
  <c r="AK76" i="1" s="1"/>
  <c r="P75" i="1"/>
  <c r="O75" i="1"/>
  <c r="I77" i="1"/>
  <c r="J77" i="1" s="1"/>
  <c r="N77" i="1" s="1"/>
  <c r="M76" i="1"/>
  <c r="L76" i="1"/>
  <c r="N76" i="1"/>
  <c r="AE77" i="1"/>
  <c r="AF77" i="1" s="1"/>
  <c r="AI77" i="1" s="1"/>
  <c r="AA78" i="1"/>
  <c r="AG77" i="1" s="1"/>
  <c r="AB78" i="1"/>
  <c r="AQ74" i="1"/>
  <c r="AP74" i="1"/>
  <c r="Z79" i="1"/>
  <c r="AT72" i="1"/>
  <c r="AR72" i="1" s="1"/>
  <c r="AC77" i="1"/>
  <c r="AD77" i="1"/>
  <c r="AT73" i="1"/>
  <c r="AR73" i="1" s="1"/>
  <c r="T74" i="1"/>
  <c r="W74" i="1" s="1"/>
  <c r="U74" i="1"/>
  <c r="X73" i="1"/>
  <c r="V73" i="1" s="1"/>
  <c r="A85" i="1"/>
  <c r="C84" i="1"/>
  <c r="B84" i="1"/>
  <c r="G77" i="1"/>
  <c r="H77" i="1"/>
  <c r="M77" i="1" l="1"/>
  <c r="L77" i="1"/>
  <c r="Q77" i="1" s="1"/>
  <c r="Q76" i="1"/>
  <c r="AN75" i="1"/>
  <c r="AO75" i="1"/>
  <c r="AM76" i="1"/>
  <c r="AN76" i="1" s="1"/>
  <c r="S75" i="1"/>
  <c r="AJ77" i="1"/>
  <c r="R75" i="1"/>
  <c r="AL76" i="1"/>
  <c r="D80" i="1"/>
  <c r="F79" i="1"/>
  <c r="E79" i="1"/>
  <c r="K78" i="1" s="1"/>
  <c r="P76" i="1"/>
  <c r="O76" i="1"/>
  <c r="S76" i="1"/>
  <c r="AH77" i="1"/>
  <c r="AE78" i="1"/>
  <c r="AF78" i="1" s="1"/>
  <c r="AJ78" i="1" s="1"/>
  <c r="AA79" i="1"/>
  <c r="AG78" i="1" s="1"/>
  <c r="AB79" i="1"/>
  <c r="AT74" i="1"/>
  <c r="AS74" i="1"/>
  <c r="AQ75" i="1"/>
  <c r="AC78" i="1"/>
  <c r="AD78" i="1"/>
  <c r="Z80" i="1"/>
  <c r="X74" i="1"/>
  <c r="V74" i="1" s="1"/>
  <c r="L78" i="1"/>
  <c r="N78" i="1"/>
  <c r="M78" i="1"/>
  <c r="P77" i="1"/>
  <c r="O77" i="1"/>
  <c r="G78" i="1"/>
  <c r="H78" i="1"/>
  <c r="A86" i="1"/>
  <c r="C85" i="1"/>
  <c r="B85" i="1"/>
  <c r="AP75" i="1" l="1"/>
  <c r="AS75" i="1" s="1"/>
  <c r="AR74" i="1"/>
  <c r="AL77" i="1"/>
  <c r="T75" i="1"/>
  <c r="W75" i="1" s="1"/>
  <c r="AO76" i="1"/>
  <c r="Q78" i="1"/>
  <c r="U75" i="1"/>
  <c r="AI78" i="1"/>
  <c r="AK77" i="1"/>
  <c r="AH78" i="1"/>
  <c r="AM77" i="1"/>
  <c r="R76" i="1"/>
  <c r="D81" i="1"/>
  <c r="F80" i="1"/>
  <c r="E80" i="1"/>
  <c r="K79" i="1" s="1"/>
  <c r="I79" i="1"/>
  <c r="J79" i="1" s="1"/>
  <c r="AE79" i="1"/>
  <c r="AF79" i="1" s="1"/>
  <c r="AI79" i="1" s="1"/>
  <c r="AB80" i="1"/>
  <c r="AA80" i="1"/>
  <c r="AG79" i="1" s="1"/>
  <c r="AO77" i="1"/>
  <c r="AP76" i="1"/>
  <c r="AS76" i="1" s="1"/>
  <c r="AQ76" i="1"/>
  <c r="Z81" i="1"/>
  <c r="AC79" i="1"/>
  <c r="AD79" i="1"/>
  <c r="AT75" i="1"/>
  <c r="AR75" i="1" s="1"/>
  <c r="S77" i="1"/>
  <c r="O78" i="1"/>
  <c r="P78" i="1"/>
  <c r="R77" i="1"/>
  <c r="A87" i="1"/>
  <c r="B86" i="1"/>
  <c r="C86" i="1"/>
  <c r="H79" i="1"/>
  <c r="G79" i="1"/>
  <c r="X75" i="1" l="1"/>
  <c r="V75" i="1" s="1"/>
  <c r="AM78" i="1"/>
  <c r="AL78" i="1"/>
  <c r="AN77" i="1"/>
  <c r="AK78" i="1"/>
  <c r="AN78" i="1" s="1"/>
  <c r="AJ79" i="1"/>
  <c r="M79" i="1"/>
  <c r="L79" i="1"/>
  <c r="N79" i="1"/>
  <c r="AH79" i="1"/>
  <c r="D82" i="1"/>
  <c r="F81" i="1"/>
  <c r="E81" i="1"/>
  <c r="K80" i="1" s="1"/>
  <c r="I80" i="1"/>
  <c r="J80" i="1" s="1"/>
  <c r="T76" i="1"/>
  <c r="U76" i="1"/>
  <c r="AE80" i="1"/>
  <c r="AF80" i="1" s="1"/>
  <c r="AH80" i="1" s="1"/>
  <c r="AB81" i="1"/>
  <c r="AA81" i="1"/>
  <c r="AG80" i="1" s="1"/>
  <c r="AQ77" i="1"/>
  <c r="AP77" i="1"/>
  <c r="AS77" i="1" s="1"/>
  <c r="AT76" i="1"/>
  <c r="AR76" i="1" s="1"/>
  <c r="AO78" i="1"/>
  <c r="AC80" i="1"/>
  <c r="AD80" i="1"/>
  <c r="Z82" i="1"/>
  <c r="T77" i="1"/>
  <c r="W77" i="1" s="1"/>
  <c r="U77" i="1"/>
  <c r="R78" i="1"/>
  <c r="S78" i="1"/>
  <c r="G80" i="1"/>
  <c r="H80" i="1"/>
  <c r="A88" i="1"/>
  <c r="B87" i="1"/>
  <c r="C87" i="1"/>
  <c r="AK79" i="1" l="1"/>
  <c r="Q79" i="1"/>
  <c r="AI80" i="1"/>
  <c r="AJ80" i="1"/>
  <c r="AM79" i="1"/>
  <c r="AL79" i="1"/>
  <c r="D83" i="1"/>
  <c r="I82" i="1" s="1"/>
  <c r="J82" i="1" s="1"/>
  <c r="F82" i="1"/>
  <c r="E82" i="1"/>
  <c r="K81" i="1" s="1"/>
  <c r="I81" i="1"/>
  <c r="J81" i="1" s="1"/>
  <c r="M80" i="1"/>
  <c r="N80" i="1"/>
  <c r="L80" i="1"/>
  <c r="P79" i="1"/>
  <c r="O79" i="1"/>
  <c r="R79" i="1" s="1"/>
  <c r="W76" i="1"/>
  <c r="X76" i="1"/>
  <c r="AE81" i="1"/>
  <c r="AF81" i="1" s="1"/>
  <c r="AH81" i="1" s="1"/>
  <c r="AB82" i="1"/>
  <c r="AA82" i="1"/>
  <c r="AG81" i="1" s="1"/>
  <c r="AT77" i="1"/>
  <c r="AR77" i="1" s="1"/>
  <c r="AN79" i="1"/>
  <c r="Z83" i="1"/>
  <c r="AP78" i="1"/>
  <c r="AS78" i="1" s="1"/>
  <c r="AQ78" i="1"/>
  <c r="AC81" i="1"/>
  <c r="AD81" i="1"/>
  <c r="AK80" i="1"/>
  <c r="AL80" i="1"/>
  <c r="AM80" i="1"/>
  <c r="T78" i="1"/>
  <c r="W78" i="1" s="1"/>
  <c r="U78" i="1"/>
  <c r="X77" i="1"/>
  <c r="V77" i="1" s="1"/>
  <c r="A89" i="1"/>
  <c r="C88" i="1"/>
  <c r="B88" i="1"/>
  <c r="G81" i="1"/>
  <c r="H81" i="1"/>
  <c r="Q80" i="1" l="1"/>
  <c r="AO79" i="1"/>
  <c r="V76" i="1"/>
  <c r="P80" i="1"/>
  <c r="O80" i="1"/>
  <c r="N81" i="1"/>
  <c r="M81" i="1"/>
  <c r="L81" i="1"/>
  <c r="S79" i="1"/>
  <c r="E83" i="1"/>
  <c r="K82" i="1" s="1"/>
  <c r="D84" i="1"/>
  <c r="I83" i="1" s="1"/>
  <c r="J83" i="1" s="1"/>
  <c r="F83" i="1"/>
  <c r="AI81" i="1"/>
  <c r="AJ81" i="1"/>
  <c r="AE82" i="1"/>
  <c r="AF82" i="1" s="1"/>
  <c r="AJ82" i="1" s="1"/>
  <c r="AA83" i="1"/>
  <c r="AG82" i="1" s="1"/>
  <c r="AB83" i="1"/>
  <c r="AO80" i="1"/>
  <c r="AQ79" i="1"/>
  <c r="AT78" i="1"/>
  <c r="AR78" i="1" s="1"/>
  <c r="X78" i="1"/>
  <c r="V78" i="1" s="1"/>
  <c r="Z84" i="1"/>
  <c r="AN80" i="1"/>
  <c r="AP79" i="1"/>
  <c r="AC82" i="1"/>
  <c r="AD82" i="1"/>
  <c r="L82" i="1"/>
  <c r="N82" i="1"/>
  <c r="M82" i="1"/>
  <c r="G82" i="1"/>
  <c r="H82" i="1"/>
  <c r="A90" i="1"/>
  <c r="C89" i="1"/>
  <c r="B89" i="1"/>
  <c r="S80" i="1" l="1"/>
  <c r="Q81" i="1"/>
  <c r="Q82" i="1"/>
  <c r="R80" i="1"/>
  <c r="T80" i="1" s="1"/>
  <c r="W80" i="1" s="1"/>
  <c r="U79" i="1"/>
  <c r="T79" i="1"/>
  <c r="P81" i="1"/>
  <c r="S81" i="1" s="1"/>
  <c r="O81" i="1"/>
  <c r="AK81" i="1"/>
  <c r="E84" i="1"/>
  <c r="K83" i="1" s="1"/>
  <c r="D85" i="1"/>
  <c r="F84" i="1"/>
  <c r="AH82" i="1"/>
  <c r="AI82" i="1"/>
  <c r="AM81" i="1"/>
  <c r="AL81" i="1"/>
  <c r="AE83" i="1"/>
  <c r="AF83" i="1" s="1"/>
  <c r="AH83" i="1" s="1"/>
  <c r="AA84" i="1"/>
  <c r="AG83" i="1" s="1"/>
  <c r="AB84" i="1"/>
  <c r="AT79" i="1"/>
  <c r="AS79" i="1"/>
  <c r="AP80" i="1"/>
  <c r="AS80" i="1" s="1"/>
  <c r="AQ80" i="1"/>
  <c r="AC83" i="1"/>
  <c r="AD83" i="1"/>
  <c r="Z85" i="1"/>
  <c r="L83" i="1"/>
  <c r="M83" i="1"/>
  <c r="N83" i="1"/>
  <c r="O82" i="1"/>
  <c r="P82" i="1"/>
  <c r="A91" i="1"/>
  <c r="B90" i="1"/>
  <c r="C90" i="1"/>
  <c r="H83" i="1"/>
  <c r="G83" i="1"/>
  <c r="AR79" i="1" l="1"/>
  <c r="Q83" i="1"/>
  <c r="AM82" i="1"/>
  <c r="U80" i="1"/>
  <c r="X80" i="1" s="1"/>
  <c r="AO81" i="1"/>
  <c r="R81" i="1"/>
  <c r="T81" i="1" s="1"/>
  <c r="W81" i="1" s="1"/>
  <c r="AN81" i="1"/>
  <c r="AK82" i="1"/>
  <c r="AN82" i="1" s="1"/>
  <c r="AL82" i="1"/>
  <c r="AI83" i="1"/>
  <c r="D86" i="1"/>
  <c r="I85" i="1" s="1"/>
  <c r="J85" i="1" s="1"/>
  <c r="E85" i="1"/>
  <c r="K84" i="1" s="1"/>
  <c r="F85" i="1"/>
  <c r="I84" i="1"/>
  <c r="J84" i="1" s="1"/>
  <c r="W79" i="1"/>
  <c r="X79" i="1"/>
  <c r="AJ83" i="1"/>
  <c r="AE84" i="1"/>
  <c r="AF84" i="1" s="1"/>
  <c r="AI84" i="1" s="1"/>
  <c r="AA85" i="1"/>
  <c r="AG84" i="1" s="1"/>
  <c r="AB85" i="1"/>
  <c r="AT80" i="1"/>
  <c r="AR80" i="1" s="1"/>
  <c r="Z86" i="1"/>
  <c r="AC84" i="1"/>
  <c r="AD84" i="1"/>
  <c r="R82" i="1"/>
  <c r="P83" i="1"/>
  <c r="O83" i="1"/>
  <c r="S82" i="1"/>
  <c r="G84" i="1"/>
  <c r="H84" i="1"/>
  <c r="A92" i="1"/>
  <c r="B91" i="1"/>
  <c r="C91" i="1"/>
  <c r="AQ81" i="1" l="1"/>
  <c r="V79" i="1"/>
  <c r="U81" i="1"/>
  <c r="X81" i="1" s="1"/>
  <c r="V80" i="1"/>
  <c r="AP81" i="1"/>
  <c r="AS81" i="1" s="1"/>
  <c r="AO82" i="1"/>
  <c r="AQ82" i="1" s="1"/>
  <c r="AK83" i="1"/>
  <c r="AM83" i="1"/>
  <c r="AO83" i="1" s="1"/>
  <c r="AL83" i="1"/>
  <c r="N84" i="1"/>
  <c r="M84" i="1"/>
  <c r="L84" i="1"/>
  <c r="AH84" i="1"/>
  <c r="AJ84" i="1"/>
  <c r="D87" i="1"/>
  <c r="I86" i="1" s="1"/>
  <c r="J86" i="1" s="1"/>
  <c r="F86" i="1"/>
  <c r="E86" i="1"/>
  <c r="K85" i="1" s="1"/>
  <c r="AE85" i="1"/>
  <c r="AF85" i="1" s="1"/>
  <c r="AH85" i="1" s="1"/>
  <c r="AA86" i="1"/>
  <c r="AG85" i="1" s="1"/>
  <c r="AB86" i="1"/>
  <c r="T82" i="1"/>
  <c r="W82" i="1" s="1"/>
  <c r="S83" i="1"/>
  <c r="Z87" i="1"/>
  <c r="AC85" i="1"/>
  <c r="AD85" i="1"/>
  <c r="U82" i="1"/>
  <c r="R83" i="1"/>
  <c r="L85" i="1"/>
  <c r="M85" i="1"/>
  <c r="N85" i="1"/>
  <c r="A93" i="1"/>
  <c r="C92" i="1"/>
  <c r="B92" i="1"/>
  <c r="G85" i="1"/>
  <c r="H85" i="1"/>
  <c r="AP82" i="1" l="1"/>
  <c r="AS82" i="1" s="1"/>
  <c r="AN83" i="1"/>
  <c r="AQ83" i="1" s="1"/>
  <c r="Q84" i="1"/>
  <c r="AT81" i="1"/>
  <c r="AR81" i="1" s="1"/>
  <c r="V81" i="1"/>
  <c r="Q85" i="1"/>
  <c r="AI85" i="1"/>
  <c r="AJ85" i="1"/>
  <c r="AM84" i="1"/>
  <c r="AK84" i="1"/>
  <c r="AL84" i="1"/>
  <c r="O84" i="1"/>
  <c r="P84" i="1"/>
  <c r="F87" i="1"/>
  <c r="D88" i="1"/>
  <c r="E87" i="1"/>
  <c r="K86" i="1" s="1"/>
  <c r="AE86" i="1"/>
  <c r="AF86" i="1" s="1"/>
  <c r="AJ86" i="1" s="1"/>
  <c r="AA87" i="1"/>
  <c r="AG86" i="1" s="1"/>
  <c r="AB87" i="1"/>
  <c r="X82" i="1"/>
  <c r="V82" i="1" s="1"/>
  <c r="AC86" i="1"/>
  <c r="AD86" i="1"/>
  <c r="Z88" i="1"/>
  <c r="AP83" i="1"/>
  <c r="AS83" i="1" s="1"/>
  <c r="T83" i="1"/>
  <c r="W83" i="1" s="1"/>
  <c r="U83" i="1"/>
  <c r="L86" i="1"/>
  <c r="M86" i="1"/>
  <c r="N86" i="1"/>
  <c r="O85" i="1"/>
  <c r="P85" i="1"/>
  <c r="G86" i="1"/>
  <c r="H86" i="1"/>
  <c r="A94" i="1"/>
  <c r="C93" i="1"/>
  <c r="B93" i="1"/>
  <c r="AT82" i="1" l="1"/>
  <c r="AR82" i="1" s="1"/>
  <c r="AL85" i="1"/>
  <c r="AO84" i="1"/>
  <c r="AK85" i="1"/>
  <c r="AM85" i="1"/>
  <c r="AO85" i="1" s="1"/>
  <c r="AN84" i="1"/>
  <c r="Q86" i="1"/>
  <c r="R84" i="1"/>
  <c r="F88" i="1"/>
  <c r="E88" i="1"/>
  <c r="K87" i="1" s="1"/>
  <c r="D89" i="1"/>
  <c r="I88" i="1" s="1"/>
  <c r="J88" i="1" s="1"/>
  <c r="I87" i="1"/>
  <c r="J87" i="1" s="1"/>
  <c r="AI86" i="1"/>
  <c r="AH86" i="1"/>
  <c r="S84" i="1"/>
  <c r="AE87" i="1"/>
  <c r="AF87" i="1" s="1"/>
  <c r="AI87" i="1" s="1"/>
  <c r="AB88" i="1"/>
  <c r="AA88" i="1"/>
  <c r="AG87" i="1" s="1"/>
  <c r="AT83" i="1"/>
  <c r="AR83" i="1" s="1"/>
  <c r="AC87" i="1"/>
  <c r="AD87" i="1"/>
  <c r="Z89" i="1"/>
  <c r="X83" i="1"/>
  <c r="V83" i="1" s="1"/>
  <c r="S85" i="1"/>
  <c r="R85" i="1"/>
  <c r="O86" i="1"/>
  <c r="P86" i="1"/>
  <c r="A95" i="1"/>
  <c r="B94" i="1"/>
  <c r="C94" i="1"/>
  <c r="G87" i="1"/>
  <c r="H87" i="1"/>
  <c r="AP84" i="1" l="1"/>
  <c r="AN85" i="1"/>
  <c r="AJ87" i="1"/>
  <c r="AQ84" i="1"/>
  <c r="AH87" i="1"/>
  <c r="AK87" i="1" s="1"/>
  <c r="T84" i="1"/>
  <c r="AK86" i="1"/>
  <c r="W84" i="1"/>
  <c r="AM86" i="1"/>
  <c r="M87" i="1"/>
  <c r="L87" i="1"/>
  <c r="N87" i="1"/>
  <c r="AL86" i="1"/>
  <c r="D90" i="1"/>
  <c r="F89" i="1"/>
  <c r="E89" i="1"/>
  <c r="K88" i="1" s="1"/>
  <c r="U84" i="1"/>
  <c r="AE88" i="1"/>
  <c r="AF88" i="1" s="1"/>
  <c r="AJ88" i="1" s="1"/>
  <c r="AB89" i="1"/>
  <c r="AA89" i="1"/>
  <c r="AG88" i="1" s="1"/>
  <c r="AP85" i="1"/>
  <c r="AS85" i="1" s="1"/>
  <c r="AT84" i="1"/>
  <c r="AS84" i="1"/>
  <c r="R86" i="1"/>
  <c r="AQ85" i="1"/>
  <c r="AC88" i="1"/>
  <c r="AD88" i="1"/>
  <c r="Z90" i="1"/>
  <c r="AL87" i="1"/>
  <c r="AM87" i="1"/>
  <c r="T85" i="1"/>
  <c r="W85" i="1" s="1"/>
  <c r="U85" i="1"/>
  <c r="L88" i="1"/>
  <c r="M88" i="1"/>
  <c r="N88" i="1"/>
  <c r="S86" i="1"/>
  <c r="G88" i="1"/>
  <c r="H88" i="1"/>
  <c r="A96" i="1"/>
  <c r="B95" i="1"/>
  <c r="C95" i="1"/>
  <c r="X84" i="1" l="1"/>
  <c r="AN86" i="1"/>
  <c r="AO86" i="1"/>
  <c r="AR84" i="1"/>
  <c r="V84" i="1"/>
  <c r="Q87" i="1"/>
  <c r="Q88" i="1"/>
  <c r="AH88" i="1"/>
  <c r="P87" i="1"/>
  <c r="O87" i="1"/>
  <c r="D91" i="1"/>
  <c r="E90" i="1"/>
  <c r="K89" i="1" s="1"/>
  <c r="F90" i="1"/>
  <c r="AI88" i="1"/>
  <c r="I89" i="1"/>
  <c r="J89" i="1" s="1"/>
  <c r="L89" i="1" s="1"/>
  <c r="AB90" i="1"/>
  <c r="AA90" i="1"/>
  <c r="AG89" i="1" s="1"/>
  <c r="AT85" i="1"/>
  <c r="AR85" i="1" s="1"/>
  <c r="T86" i="1"/>
  <c r="W86" i="1" s="1"/>
  <c r="AO87" i="1"/>
  <c r="AP86" i="1"/>
  <c r="AS86" i="1" s="1"/>
  <c r="AQ86" i="1"/>
  <c r="Z91" i="1"/>
  <c r="AN87" i="1"/>
  <c r="AC89" i="1"/>
  <c r="AD89" i="1"/>
  <c r="U86" i="1"/>
  <c r="AE89" i="1"/>
  <c r="AF89" i="1" s="1"/>
  <c r="X85" i="1"/>
  <c r="V85" i="1" s="1"/>
  <c r="O88" i="1"/>
  <c r="P88" i="1"/>
  <c r="A97" i="1"/>
  <c r="C96" i="1"/>
  <c r="B96" i="1"/>
  <c r="G89" i="1"/>
  <c r="H89" i="1"/>
  <c r="R87" i="1" l="1"/>
  <c r="AK88" i="1"/>
  <c r="N89" i="1"/>
  <c r="M89" i="1"/>
  <c r="Q89" i="1" s="1"/>
  <c r="AM88" i="1"/>
  <c r="AN88" i="1" s="1"/>
  <c r="AL88" i="1"/>
  <c r="AO88" i="1" s="1"/>
  <c r="F91" i="1"/>
  <c r="D92" i="1"/>
  <c r="I91" i="1" s="1"/>
  <c r="J91" i="1" s="1"/>
  <c r="E91" i="1"/>
  <c r="K90" i="1" s="1"/>
  <c r="I90" i="1"/>
  <c r="J90" i="1" s="1"/>
  <c r="S87" i="1"/>
  <c r="AE90" i="1"/>
  <c r="AF90" i="1" s="1"/>
  <c r="AI90" i="1" s="1"/>
  <c r="AA91" i="1"/>
  <c r="AG90" i="1" s="1"/>
  <c r="AB91" i="1"/>
  <c r="X86" i="1"/>
  <c r="V86" i="1" s="1"/>
  <c r="R88" i="1"/>
  <c r="AQ87" i="1"/>
  <c r="AP87" i="1"/>
  <c r="AS87" i="1" s="1"/>
  <c r="AC90" i="1"/>
  <c r="AD90" i="1"/>
  <c r="AJ89" i="1"/>
  <c r="AI89" i="1"/>
  <c r="AH89" i="1"/>
  <c r="Z92" i="1"/>
  <c r="AT86" i="1"/>
  <c r="AR86" i="1" s="1"/>
  <c r="S88" i="1"/>
  <c r="P89" i="1"/>
  <c r="O89" i="1"/>
  <c r="G90" i="1"/>
  <c r="H90" i="1"/>
  <c r="A98" i="1"/>
  <c r="C97" i="1"/>
  <c r="B97" i="1"/>
  <c r="AJ90" i="1" l="1"/>
  <c r="AH90" i="1"/>
  <c r="T88" i="1"/>
  <c r="W88" i="1" s="1"/>
  <c r="E92" i="1"/>
  <c r="K91" i="1" s="1"/>
  <c r="D93" i="1"/>
  <c r="F92" i="1"/>
  <c r="L90" i="1"/>
  <c r="M90" i="1"/>
  <c r="N90" i="1"/>
  <c r="U87" i="1"/>
  <c r="T87" i="1"/>
  <c r="AE91" i="1"/>
  <c r="AF91" i="1" s="1"/>
  <c r="AI91" i="1" s="1"/>
  <c r="AA92" i="1"/>
  <c r="AG91" i="1" s="1"/>
  <c r="AB92" i="1"/>
  <c r="AT87" i="1"/>
  <c r="AR87" i="1" s="1"/>
  <c r="S89" i="1"/>
  <c r="AC91" i="1"/>
  <c r="AD91" i="1"/>
  <c r="AM90" i="1"/>
  <c r="AK90" i="1"/>
  <c r="AL90" i="1"/>
  <c r="AQ88" i="1"/>
  <c r="AP88" i="1"/>
  <c r="AS88" i="1" s="1"/>
  <c r="Z93" i="1"/>
  <c r="AK89" i="1"/>
  <c r="AL89" i="1"/>
  <c r="AM89" i="1"/>
  <c r="U88" i="1"/>
  <c r="X88" i="1" s="1"/>
  <c r="R89" i="1"/>
  <c r="L91" i="1"/>
  <c r="N91" i="1"/>
  <c r="M91" i="1"/>
  <c r="A99" i="1"/>
  <c r="B98" i="1"/>
  <c r="C98" i="1"/>
  <c r="G91" i="1"/>
  <c r="H91" i="1"/>
  <c r="V88" i="1" l="1"/>
  <c r="Q90" i="1"/>
  <c r="Q91" i="1"/>
  <c r="AH91" i="1"/>
  <c r="W87" i="1"/>
  <c r="X87" i="1"/>
  <c r="AJ91" i="1"/>
  <c r="AK91" i="1" s="1"/>
  <c r="P90" i="1"/>
  <c r="S90" i="1" s="1"/>
  <c r="O90" i="1"/>
  <c r="D94" i="1"/>
  <c r="I93" i="1" s="1"/>
  <c r="J93" i="1" s="1"/>
  <c r="E93" i="1"/>
  <c r="K92" i="1" s="1"/>
  <c r="F93" i="1"/>
  <c r="I92" i="1"/>
  <c r="J92" i="1" s="1"/>
  <c r="L92" i="1" s="1"/>
  <c r="AE92" i="1"/>
  <c r="AF92" i="1" s="1"/>
  <c r="AJ92" i="1" s="1"/>
  <c r="AA93" i="1"/>
  <c r="AG92" i="1" s="1"/>
  <c r="AB93" i="1"/>
  <c r="AN90" i="1"/>
  <c r="AN89" i="1"/>
  <c r="AT88" i="1"/>
  <c r="AR88" i="1" s="1"/>
  <c r="AC92" i="1"/>
  <c r="AD92" i="1"/>
  <c r="Z94" i="1"/>
  <c r="AO90" i="1"/>
  <c r="AO89" i="1"/>
  <c r="T89" i="1"/>
  <c r="W89" i="1" s="1"/>
  <c r="U89" i="1"/>
  <c r="P91" i="1"/>
  <c r="O91" i="1"/>
  <c r="G92" i="1"/>
  <c r="H92" i="1"/>
  <c r="A100" i="1"/>
  <c r="B99" i="1"/>
  <c r="C99" i="1"/>
  <c r="V87" i="1" l="1"/>
  <c r="AM91" i="1"/>
  <c r="N92" i="1"/>
  <c r="M92" i="1"/>
  <c r="AI92" i="1"/>
  <c r="AH92" i="1"/>
  <c r="R90" i="1"/>
  <c r="AL91" i="1"/>
  <c r="AO91" i="1" s="1"/>
  <c r="F94" i="1"/>
  <c r="D95" i="1"/>
  <c r="I94" i="1" s="1"/>
  <c r="J94" i="1" s="1"/>
  <c r="E94" i="1"/>
  <c r="K93" i="1" s="1"/>
  <c r="AE93" i="1"/>
  <c r="AF93" i="1" s="1"/>
  <c r="AH93" i="1" s="1"/>
  <c r="AA94" i="1"/>
  <c r="AG93" i="1" s="1"/>
  <c r="AB94" i="1"/>
  <c r="AQ90" i="1"/>
  <c r="AQ89" i="1"/>
  <c r="AP90" i="1"/>
  <c r="AS90" i="1" s="1"/>
  <c r="R91" i="1"/>
  <c r="Z95" i="1"/>
  <c r="AC93" i="1"/>
  <c r="AD93" i="1"/>
  <c r="AN91" i="1"/>
  <c r="AP89" i="1"/>
  <c r="S91" i="1"/>
  <c r="X89" i="1"/>
  <c r="V89" i="1" s="1"/>
  <c r="L93" i="1"/>
  <c r="N93" i="1"/>
  <c r="M93" i="1"/>
  <c r="O92" i="1"/>
  <c r="P92" i="1"/>
  <c r="A101" i="1"/>
  <c r="C100" i="1"/>
  <c r="B100" i="1"/>
  <c r="G93" i="1"/>
  <c r="H93" i="1"/>
  <c r="Q92" i="1" l="1"/>
  <c r="AK92" i="1"/>
  <c r="Q93" i="1"/>
  <c r="AL92" i="1"/>
  <c r="AM92" i="1"/>
  <c r="AJ93" i="1"/>
  <c r="AI93" i="1"/>
  <c r="D96" i="1"/>
  <c r="F95" i="1"/>
  <c r="E95" i="1"/>
  <c r="K94" i="1" s="1"/>
  <c r="T90" i="1"/>
  <c r="U90" i="1"/>
  <c r="AE94" i="1"/>
  <c r="AF94" i="1" s="1"/>
  <c r="AI94" i="1" s="1"/>
  <c r="AA95" i="1"/>
  <c r="AG94" i="1" s="1"/>
  <c r="AB95" i="1"/>
  <c r="AT90" i="1"/>
  <c r="AR90" i="1" s="1"/>
  <c r="AT89" i="1"/>
  <c r="AS89" i="1"/>
  <c r="T91" i="1"/>
  <c r="W91" i="1" s="1"/>
  <c r="AQ91" i="1"/>
  <c r="AP91" i="1"/>
  <c r="AC94" i="1"/>
  <c r="AD94" i="1"/>
  <c r="Z96" i="1"/>
  <c r="U91" i="1"/>
  <c r="R92" i="1"/>
  <c r="S92" i="1"/>
  <c r="L94" i="1"/>
  <c r="N94" i="1"/>
  <c r="M94" i="1"/>
  <c r="O93" i="1"/>
  <c r="P93" i="1"/>
  <c r="G94" i="1"/>
  <c r="H94" i="1"/>
  <c r="A102" i="1"/>
  <c r="C101" i="1"/>
  <c r="B101" i="1"/>
  <c r="AL93" i="1" l="1"/>
  <c r="AR89" i="1"/>
  <c r="AO92" i="1"/>
  <c r="AK93" i="1"/>
  <c r="AN92" i="1"/>
  <c r="AQ92" i="1" s="1"/>
  <c r="Q94" i="1"/>
  <c r="AM93" i="1"/>
  <c r="AO93" i="1" s="1"/>
  <c r="AJ94" i="1"/>
  <c r="AH94" i="1"/>
  <c r="E96" i="1"/>
  <c r="K95" i="1" s="1"/>
  <c r="D97" i="1"/>
  <c r="I96" i="1" s="1"/>
  <c r="J96" i="1" s="1"/>
  <c r="F96" i="1"/>
  <c r="I95" i="1"/>
  <c r="J95" i="1" s="1"/>
  <c r="W90" i="1"/>
  <c r="X90" i="1"/>
  <c r="AE95" i="1"/>
  <c r="AF95" i="1" s="1"/>
  <c r="AH95" i="1" s="1"/>
  <c r="AB96" i="1"/>
  <c r="AA96" i="1"/>
  <c r="AG95" i="1" s="1"/>
  <c r="X91" i="1"/>
  <c r="V91" i="1" s="1"/>
  <c r="AT91" i="1"/>
  <c r="AS91" i="1"/>
  <c r="Z97" i="1"/>
  <c r="AC95" i="1"/>
  <c r="AD95" i="1"/>
  <c r="S93" i="1"/>
  <c r="U92" i="1"/>
  <c r="T92" i="1"/>
  <c r="W92" i="1" s="1"/>
  <c r="R93" i="1"/>
  <c r="O94" i="1"/>
  <c r="P94" i="1"/>
  <c r="A103" i="1"/>
  <c r="B102" i="1"/>
  <c r="C102" i="1"/>
  <c r="G95" i="1"/>
  <c r="H95" i="1"/>
  <c r="AK94" i="1" l="1"/>
  <c r="AR91" i="1"/>
  <c r="V90" i="1"/>
  <c r="AP92" i="1"/>
  <c r="AS92" i="1" s="1"/>
  <c r="AN93" i="1"/>
  <c r="AQ93" i="1" s="1"/>
  <c r="AM94" i="1"/>
  <c r="AL94" i="1"/>
  <c r="AI95" i="1"/>
  <c r="AL95" i="1" s="1"/>
  <c r="AJ95" i="1"/>
  <c r="E97" i="1"/>
  <c r="K96" i="1" s="1"/>
  <c r="D98" i="1"/>
  <c r="F97" i="1"/>
  <c r="L95" i="1"/>
  <c r="N95" i="1"/>
  <c r="M95" i="1"/>
  <c r="AE96" i="1"/>
  <c r="AF96" i="1" s="1"/>
  <c r="AH96" i="1" s="1"/>
  <c r="AB97" i="1"/>
  <c r="AA97" i="1"/>
  <c r="AG96" i="1" s="1"/>
  <c r="R94" i="1"/>
  <c r="AT92" i="1"/>
  <c r="AR92" i="1" s="1"/>
  <c r="Z98" i="1"/>
  <c r="AC96" i="1"/>
  <c r="AD96" i="1"/>
  <c r="T93" i="1"/>
  <c r="W93" i="1" s="1"/>
  <c r="U93" i="1"/>
  <c r="X92" i="1"/>
  <c r="V92" i="1" s="1"/>
  <c r="L96" i="1"/>
  <c r="M96" i="1"/>
  <c r="N96" i="1"/>
  <c r="S94" i="1"/>
  <c r="G96" i="1"/>
  <c r="H96" i="1"/>
  <c r="A104" i="1"/>
  <c r="B103" i="1"/>
  <c r="C103" i="1"/>
  <c r="AO94" i="1" l="1"/>
  <c r="AN94" i="1"/>
  <c r="AQ94" i="1" s="1"/>
  <c r="AK95" i="1"/>
  <c r="AP93" i="1"/>
  <c r="AM95" i="1"/>
  <c r="AN95" i="1" s="1"/>
  <c r="Q96" i="1"/>
  <c r="Q95" i="1"/>
  <c r="AJ96" i="1"/>
  <c r="AI96" i="1"/>
  <c r="P95" i="1"/>
  <c r="O95" i="1"/>
  <c r="E98" i="1"/>
  <c r="K97" i="1" s="1"/>
  <c r="F98" i="1"/>
  <c r="D99" i="1"/>
  <c r="I98" i="1" s="1"/>
  <c r="J98" i="1" s="1"/>
  <c r="I97" i="1"/>
  <c r="J97" i="1" s="1"/>
  <c r="AE97" i="1"/>
  <c r="AF97" i="1" s="1"/>
  <c r="AH97" i="1" s="1"/>
  <c r="AB98" i="1"/>
  <c r="AA98" i="1"/>
  <c r="AG97" i="1" s="1"/>
  <c r="T94" i="1"/>
  <c r="W94" i="1" s="1"/>
  <c r="AT93" i="1"/>
  <c r="AS93" i="1"/>
  <c r="AP94" i="1"/>
  <c r="AS94" i="1" s="1"/>
  <c r="AO95" i="1"/>
  <c r="AC97" i="1"/>
  <c r="AD97" i="1"/>
  <c r="Z99" i="1"/>
  <c r="U94" i="1"/>
  <c r="X93" i="1"/>
  <c r="V93" i="1" s="1"/>
  <c r="O96" i="1"/>
  <c r="P96" i="1"/>
  <c r="A105" i="1"/>
  <c r="C104" i="1"/>
  <c r="B104" i="1"/>
  <c r="G97" i="1"/>
  <c r="H97" i="1"/>
  <c r="AK96" i="1" l="1"/>
  <c r="AR93" i="1"/>
  <c r="AI97" i="1"/>
  <c r="AJ97" i="1"/>
  <c r="AK97" i="1" s="1"/>
  <c r="R95" i="1"/>
  <c r="AL96" i="1"/>
  <c r="AM96" i="1"/>
  <c r="S95" i="1"/>
  <c r="M97" i="1"/>
  <c r="L97" i="1"/>
  <c r="N97" i="1"/>
  <c r="D100" i="1"/>
  <c r="I99" i="1" s="1"/>
  <c r="J99" i="1" s="1"/>
  <c r="L99" i="1" s="1"/>
  <c r="E99" i="1"/>
  <c r="K98" i="1" s="1"/>
  <c r="F99" i="1"/>
  <c r="AE98" i="1"/>
  <c r="AF98" i="1" s="1"/>
  <c r="AJ98" i="1" s="1"/>
  <c r="AA99" i="1"/>
  <c r="AG98" i="1" s="1"/>
  <c r="AB99" i="1"/>
  <c r="X94" i="1"/>
  <c r="V94" i="1" s="1"/>
  <c r="AT94" i="1"/>
  <c r="AR94" i="1" s="1"/>
  <c r="R96" i="1"/>
  <c r="AQ95" i="1"/>
  <c r="AP95" i="1"/>
  <c r="AS95" i="1" s="1"/>
  <c r="AC98" i="1"/>
  <c r="AD98" i="1"/>
  <c r="Z100" i="1"/>
  <c r="L98" i="1"/>
  <c r="N98" i="1"/>
  <c r="M98" i="1"/>
  <c r="S96" i="1"/>
  <c r="G98" i="1"/>
  <c r="H98" i="1"/>
  <c r="A106" i="1"/>
  <c r="C105" i="1"/>
  <c r="B105" i="1"/>
  <c r="AO96" i="1" l="1"/>
  <c r="AM97" i="1"/>
  <c r="AL97" i="1"/>
  <c r="AN96" i="1"/>
  <c r="Q97" i="1"/>
  <c r="Q98" i="1"/>
  <c r="U95" i="1"/>
  <c r="T95" i="1"/>
  <c r="D101" i="1"/>
  <c r="E100" i="1"/>
  <c r="K99" i="1" s="1"/>
  <c r="F100" i="1"/>
  <c r="AH98" i="1"/>
  <c r="M99" i="1"/>
  <c r="AI98" i="1"/>
  <c r="O97" i="1"/>
  <c r="P97" i="1"/>
  <c r="N99" i="1"/>
  <c r="AA100" i="1"/>
  <c r="AG99" i="1" s="1"/>
  <c r="AB100" i="1"/>
  <c r="T96" i="1"/>
  <c r="W96" i="1" s="1"/>
  <c r="AT95" i="1"/>
  <c r="AR95" i="1" s="1"/>
  <c r="AO97" i="1"/>
  <c r="AN97" i="1"/>
  <c r="AC99" i="1"/>
  <c r="AD99" i="1"/>
  <c r="Z101" i="1"/>
  <c r="AE99" i="1"/>
  <c r="AF99" i="1" s="1"/>
  <c r="U96" i="1"/>
  <c r="O98" i="1"/>
  <c r="P98" i="1"/>
  <c r="A107" i="1"/>
  <c r="B106" i="1"/>
  <c r="C106" i="1"/>
  <c r="G99" i="1"/>
  <c r="H99" i="1"/>
  <c r="AP96" i="1" l="1"/>
  <c r="AS96" i="1" s="1"/>
  <c r="AQ96" i="1"/>
  <c r="AL98" i="1"/>
  <c r="O99" i="1"/>
  <c r="Q99" i="1"/>
  <c r="R97" i="1"/>
  <c r="AM98" i="1"/>
  <c r="AO98" i="1" s="1"/>
  <c r="AK98" i="1"/>
  <c r="W95" i="1"/>
  <c r="X95" i="1"/>
  <c r="P99" i="1"/>
  <c r="S97" i="1"/>
  <c r="F101" i="1"/>
  <c r="D102" i="1"/>
  <c r="E101" i="1"/>
  <c r="K100" i="1" s="1"/>
  <c r="I100" i="1"/>
  <c r="J100" i="1" s="1"/>
  <c r="AE100" i="1"/>
  <c r="AF100" i="1" s="1"/>
  <c r="AJ100" i="1" s="1"/>
  <c r="AA101" i="1"/>
  <c r="AG100" i="1" s="1"/>
  <c r="AB101" i="1"/>
  <c r="X96" i="1"/>
  <c r="V96" i="1" s="1"/>
  <c r="AH99" i="1"/>
  <c r="AI99" i="1"/>
  <c r="AJ99" i="1"/>
  <c r="AC100" i="1"/>
  <c r="AD100" i="1"/>
  <c r="AT96" i="1"/>
  <c r="AR96" i="1" s="1"/>
  <c r="Z102" i="1"/>
  <c r="AP97" i="1"/>
  <c r="AS97" i="1" s="1"/>
  <c r="AQ97" i="1"/>
  <c r="S98" i="1"/>
  <c r="R98" i="1"/>
  <c r="I101" i="1"/>
  <c r="J101" i="1" s="1"/>
  <c r="G100" i="1"/>
  <c r="H100" i="1"/>
  <c r="A108" i="1"/>
  <c r="B107" i="1"/>
  <c r="C107" i="1"/>
  <c r="V95" i="1" l="1"/>
  <c r="R99" i="1"/>
  <c r="U97" i="1"/>
  <c r="AN98" i="1"/>
  <c r="AP98" i="1" s="1"/>
  <c r="AS98" i="1" s="1"/>
  <c r="S99" i="1"/>
  <c r="U99" i="1" s="1"/>
  <c r="T97" i="1"/>
  <c r="W97" i="1" s="1"/>
  <c r="AH100" i="1"/>
  <c r="M100" i="1"/>
  <c r="N100" i="1"/>
  <c r="L100" i="1"/>
  <c r="D103" i="1"/>
  <c r="I102" i="1" s="1"/>
  <c r="J102" i="1" s="1"/>
  <c r="E102" i="1"/>
  <c r="K101" i="1" s="1"/>
  <c r="F102" i="1"/>
  <c r="AI100" i="1"/>
  <c r="AE101" i="1"/>
  <c r="AF101" i="1" s="1"/>
  <c r="AH101" i="1" s="1"/>
  <c r="AA102" i="1"/>
  <c r="AG101" i="1" s="1"/>
  <c r="AB102" i="1"/>
  <c r="AC101" i="1"/>
  <c r="AD101" i="1"/>
  <c r="Z103" i="1"/>
  <c r="AK99" i="1"/>
  <c r="AL99" i="1"/>
  <c r="AM99" i="1"/>
  <c r="AT97" i="1"/>
  <c r="AR97" i="1" s="1"/>
  <c r="T98" i="1"/>
  <c r="W98" i="1" s="1"/>
  <c r="U98" i="1"/>
  <c r="L101" i="1"/>
  <c r="M101" i="1"/>
  <c r="N101" i="1"/>
  <c r="A109" i="1"/>
  <c r="C108" i="1"/>
  <c r="B108" i="1"/>
  <c r="G101" i="1"/>
  <c r="H101" i="1"/>
  <c r="T99" i="1" l="1"/>
  <c r="W99" i="1" s="1"/>
  <c r="AQ98" i="1"/>
  <c r="AT98" i="1" s="1"/>
  <c r="AR98" i="1" s="1"/>
  <c r="Q100" i="1"/>
  <c r="Q101" i="1"/>
  <c r="X97" i="1"/>
  <c r="V97" i="1" s="1"/>
  <c r="AI101" i="1"/>
  <c r="AJ101" i="1"/>
  <c r="AK100" i="1"/>
  <c r="AM100" i="1"/>
  <c r="D104" i="1"/>
  <c r="F103" i="1"/>
  <c r="E103" i="1"/>
  <c r="K102" i="1" s="1"/>
  <c r="AL100" i="1"/>
  <c r="P100" i="1"/>
  <c r="O100" i="1"/>
  <c r="AE102" i="1"/>
  <c r="AF102" i="1" s="1"/>
  <c r="AH102" i="1" s="1"/>
  <c r="AA103" i="1"/>
  <c r="AG102" i="1" s="1"/>
  <c r="AB103" i="1"/>
  <c r="X99" i="1"/>
  <c r="V99" i="1" s="1"/>
  <c r="AN99" i="1"/>
  <c r="Z104" i="1"/>
  <c r="AO99" i="1"/>
  <c r="AC102" i="1"/>
  <c r="AD102" i="1"/>
  <c r="X98" i="1"/>
  <c r="V98" i="1" s="1"/>
  <c r="L102" i="1"/>
  <c r="M102" i="1"/>
  <c r="N102" i="1"/>
  <c r="O101" i="1"/>
  <c r="P101" i="1"/>
  <c r="G102" i="1"/>
  <c r="H102" i="1"/>
  <c r="A110" i="1"/>
  <c r="C109" i="1"/>
  <c r="B109" i="1"/>
  <c r="AM101" i="1" l="1"/>
  <c r="AN100" i="1"/>
  <c r="AK101" i="1"/>
  <c r="AL101" i="1"/>
  <c r="AO101" i="1" s="1"/>
  <c r="Q102" i="1"/>
  <c r="AO100" i="1"/>
  <c r="AP100" i="1" s="1"/>
  <c r="AS100" i="1" s="1"/>
  <c r="AI102" i="1"/>
  <c r="AJ102" i="1"/>
  <c r="S100" i="1"/>
  <c r="R100" i="1"/>
  <c r="E104" i="1"/>
  <c r="K103" i="1" s="1"/>
  <c r="D105" i="1"/>
  <c r="F104" i="1"/>
  <c r="I103" i="1"/>
  <c r="J103" i="1" s="1"/>
  <c r="AE103" i="1"/>
  <c r="AF103" i="1" s="1"/>
  <c r="AH103" i="1" s="1"/>
  <c r="AB104" i="1"/>
  <c r="AA104" i="1"/>
  <c r="AG103" i="1" s="1"/>
  <c r="AQ99" i="1"/>
  <c r="AP99" i="1"/>
  <c r="AS99" i="1" s="1"/>
  <c r="AC103" i="1"/>
  <c r="AD103" i="1"/>
  <c r="AN101" i="1"/>
  <c r="Z105" i="1"/>
  <c r="R101" i="1"/>
  <c r="O102" i="1"/>
  <c r="P102" i="1"/>
  <c r="S101" i="1"/>
  <c r="A111" i="1"/>
  <c r="B110" i="1"/>
  <c r="C110" i="1"/>
  <c r="G103" i="1"/>
  <c r="H103" i="1"/>
  <c r="AL102" i="1" l="1"/>
  <c r="AQ100" i="1"/>
  <c r="AT100" i="1" s="1"/>
  <c r="AR100" i="1" s="1"/>
  <c r="AK102" i="1"/>
  <c r="AM102" i="1"/>
  <c r="AN102" i="1" s="1"/>
  <c r="U100" i="1"/>
  <c r="T100" i="1"/>
  <c r="N103" i="1"/>
  <c r="L103" i="1"/>
  <c r="M103" i="1"/>
  <c r="D106" i="1"/>
  <c r="I105" i="1" s="1"/>
  <c r="J105" i="1" s="1"/>
  <c r="N105" i="1" s="1"/>
  <c r="F105" i="1"/>
  <c r="E105" i="1"/>
  <c r="K104" i="1" s="1"/>
  <c r="I104" i="1"/>
  <c r="J104" i="1" s="1"/>
  <c r="AJ103" i="1"/>
  <c r="AI103" i="1"/>
  <c r="AE104" i="1"/>
  <c r="AF104" i="1" s="1"/>
  <c r="AI104" i="1" s="1"/>
  <c r="AB105" i="1"/>
  <c r="AA105" i="1"/>
  <c r="AG104" i="1" s="1"/>
  <c r="AT99" i="1"/>
  <c r="AR99" i="1" s="1"/>
  <c r="T101" i="1"/>
  <c r="W101" i="1" s="1"/>
  <c r="AO102" i="1"/>
  <c r="Z106" i="1"/>
  <c r="AP101" i="1"/>
  <c r="AS101" i="1" s="1"/>
  <c r="AQ101" i="1"/>
  <c r="AC104" i="1"/>
  <c r="AD104" i="1"/>
  <c r="U101" i="1"/>
  <c r="R102" i="1"/>
  <c r="S102" i="1"/>
  <c r="G104" i="1"/>
  <c r="H104" i="1"/>
  <c r="A112" i="1"/>
  <c r="B111" i="1"/>
  <c r="C111" i="1"/>
  <c r="Q103" i="1" l="1"/>
  <c r="AK103" i="1"/>
  <c r="W100" i="1"/>
  <c r="X100" i="1"/>
  <c r="L105" i="1"/>
  <c r="M104" i="1"/>
  <c r="L104" i="1"/>
  <c r="N104" i="1"/>
  <c r="D107" i="1"/>
  <c r="I106" i="1" s="1"/>
  <c r="J106" i="1" s="1"/>
  <c r="F106" i="1"/>
  <c r="E106" i="1"/>
  <c r="K105" i="1" s="1"/>
  <c r="M105" i="1"/>
  <c r="P103" i="1"/>
  <c r="S103" i="1" s="1"/>
  <c r="O103" i="1"/>
  <c r="AH104" i="1"/>
  <c r="AJ104" i="1"/>
  <c r="AL103" i="1"/>
  <c r="AM103" i="1"/>
  <c r="AE105" i="1"/>
  <c r="AF105" i="1" s="1"/>
  <c r="AH105" i="1" s="1"/>
  <c r="AB106" i="1"/>
  <c r="AA106" i="1"/>
  <c r="AG105" i="1" s="1"/>
  <c r="X101" i="1"/>
  <c r="V101" i="1" s="1"/>
  <c r="AT101" i="1"/>
  <c r="AR101" i="1" s="1"/>
  <c r="AP102" i="1"/>
  <c r="AS102" i="1" s="1"/>
  <c r="AQ102" i="1"/>
  <c r="AC105" i="1"/>
  <c r="AD105" i="1"/>
  <c r="Z107" i="1"/>
  <c r="AN103" i="1"/>
  <c r="U102" i="1"/>
  <c r="T102" i="1"/>
  <c r="W102" i="1" s="1"/>
  <c r="A113" i="1"/>
  <c r="C112" i="1"/>
  <c r="B112" i="1"/>
  <c r="G105" i="1"/>
  <c r="H105" i="1"/>
  <c r="V100" i="1" l="1"/>
  <c r="Q104" i="1"/>
  <c r="Q105" i="1"/>
  <c r="AL104" i="1"/>
  <c r="AM104" i="1"/>
  <c r="AK104" i="1"/>
  <c r="AN104" i="1" s="1"/>
  <c r="P105" i="1"/>
  <c r="S105" i="1" s="1"/>
  <c r="E107" i="1"/>
  <c r="K106" i="1" s="1"/>
  <c r="D108" i="1"/>
  <c r="F107" i="1"/>
  <c r="O104" i="1"/>
  <c r="P104" i="1"/>
  <c r="R103" i="1"/>
  <c r="O105" i="1"/>
  <c r="R105" i="1" s="1"/>
  <c r="AO103" i="1"/>
  <c r="AP103" i="1" s="1"/>
  <c r="AS103" i="1" s="1"/>
  <c r="AJ105" i="1"/>
  <c r="AI105" i="1"/>
  <c r="AE106" i="1"/>
  <c r="AF106" i="1" s="1"/>
  <c r="AH106" i="1" s="1"/>
  <c r="AA107" i="1"/>
  <c r="AG106" i="1" s="1"/>
  <c r="AB107" i="1"/>
  <c r="X102" i="1"/>
  <c r="V102" i="1" s="1"/>
  <c r="Z108" i="1"/>
  <c r="AC106" i="1"/>
  <c r="AD106" i="1"/>
  <c r="AT102" i="1"/>
  <c r="AR102" i="1" s="1"/>
  <c r="L106" i="1"/>
  <c r="M106" i="1"/>
  <c r="N106" i="1"/>
  <c r="G106" i="1"/>
  <c r="H106" i="1"/>
  <c r="A114" i="1"/>
  <c r="C113" i="1"/>
  <c r="B113" i="1"/>
  <c r="AO104" i="1" l="1"/>
  <c r="AK105" i="1"/>
  <c r="Q106" i="1"/>
  <c r="AQ103" i="1"/>
  <c r="AM105" i="1"/>
  <c r="AN105" i="1" s="1"/>
  <c r="AL105" i="1"/>
  <c r="AO105" i="1" s="1"/>
  <c r="R104" i="1"/>
  <c r="T103" i="1"/>
  <c r="U103" i="1"/>
  <c r="S104" i="1"/>
  <c r="F108" i="1"/>
  <c r="D109" i="1"/>
  <c r="I108" i="1" s="1"/>
  <c r="J108" i="1" s="1"/>
  <c r="E108" i="1"/>
  <c r="K107" i="1" s="1"/>
  <c r="I107" i="1"/>
  <c r="J107" i="1" s="1"/>
  <c r="AJ106" i="1"/>
  <c r="AI106" i="1"/>
  <c r="AM106" i="1" s="1"/>
  <c r="AE107" i="1"/>
  <c r="AF107" i="1" s="1"/>
  <c r="AI107" i="1" s="1"/>
  <c r="AA108" i="1"/>
  <c r="AG107" i="1" s="1"/>
  <c r="AB108" i="1"/>
  <c r="AQ104" i="1"/>
  <c r="AP104" i="1"/>
  <c r="AT103" i="1"/>
  <c r="AR103" i="1" s="1"/>
  <c r="AC107" i="1"/>
  <c r="AD107" i="1"/>
  <c r="Z109" i="1"/>
  <c r="T105" i="1"/>
  <c r="W105" i="1" s="1"/>
  <c r="U105" i="1"/>
  <c r="O106" i="1"/>
  <c r="P106" i="1"/>
  <c r="A115" i="1"/>
  <c r="B114" i="1"/>
  <c r="C114" i="1"/>
  <c r="G107" i="1"/>
  <c r="H107" i="1"/>
  <c r="AJ107" i="1" l="1"/>
  <c r="L107" i="1"/>
  <c r="M107" i="1"/>
  <c r="N107" i="1"/>
  <c r="W103" i="1"/>
  <c r="X103" i="1"/>
  <c r="D110" i="1"/>
  <c r="I109" i="1" s="1"/>
  <c r="J109" i="1" s="1"/>
  <c r="F109" i="1"/>
  <c r="E109" i="1"/>
  <c r="K108" i="1" s="1"/>
  <c r="T104" i="1"/>
  <c r="U104" i="1"/>
  <c r="AL106" i="1"/>
  <c r="AO106" i="1" s="1"/>
  <c r="AK106" i="1"/>
  <c r="AN106" i="1" s="1"/>
  <c r="AH107" i="1"/>
  <c r="AL107" i="1" s="1"/>
  <c r="AE108" i="1"/>
  <c r="AF108" i="1" s="1"/>
  <c r="AI108" i="1" s="1"/>
  <c r="AA109" i="1"/>
  <c r="AG108" i="1" s="1"/>
  <c r="AB109" i="1"/>
  <c r="AT104" i="1"/>
  <c r="AS104" i="1"/>
  <c r="S106" i="1"/>
  <c r="Z110" i="1"/>
  <c r="AQ105" i="1"/>
  <c r="AP105" i="1"/>
  <c r="AS105" i="1" s="1"/>
  <c r="AC108" i="1"/>
  <c r="AD108" i="1"/>
  <c r="X105" i="1"/>
  <c r="V105" i="1" s="1"/>
  <c r="L108" i="1"/>
  <c r="M108" i="1"/>
  <c r="N108" i="1"/>
  <c r="R106" i="1"/>
  <c r="G108" i="1"/>
  <c r="H108" i="1"/>
  <c r="A116" i="1"/>
  <c r="B115" i="1"/>
  <c r="C115" i="1"/>
  <c r="AR104" i="1" l="1"/>
  <c r="V103" i="1"/>
  <c r="Q108" i="1"/>
  <c r="Q107" i="1"/>
  <c r="AK107" i="1"/>
  <c r="AM107" i="1"/>
  <c r="AO107" i="1" s="1"/>
  <c r="F110" i="1"/>
  <c r="D111" i="1"/>
  <c r="I110" i="1" s="1"/>
  <c r="J110" i="1" s="1"/>
  <c r="E110" i="1"/>
  <c r="K109" i="1" s="1"/>
  <c r="AH108" i="1"/>
  <c r="W104" i="1"/>
  <c r="X104" i="1"/>
  <c r="O107" i="1"/>
  <c r="P107" i="1"/>
  <c r="AJ108" i="1"/>
  <c r="AE109" i="1"/>
  <c r="AF109" i="1" s="1"/>
  <c r="AH109" i="1" s="1"/>
  <c r="AA110" i="1"/>
  <c r="AG109" i="1" s="1"/>
  <c r="AB110" i="1"/>
  <c r="AP106" i="1"/>
  <c r="AS106" i="1" s="1"/>
  <c r="AC109" i="1"/>
  <c r="AD109" i="1"/>
  <c r="AQ106" i="1"/>
  <c r="Z111" i="1"/>
  <c r="AT105" i="1"/>
  <c r="AR105" i="1" s="1"/>
  <c r="T106" i="1"/>
  <c r="W106" i="1" s="1"/>
  <c r="U106" i="1"/>
  <c r="L109" i="1"/>
  <c r="M109" i="1"/>
  <c r="N109" i="1"/>
  <c r="O108" i="1"/>
  <c r="P108" i="1"/>
  <c r="A117" i="1"/>
  <c r="C116" i="1"/>
  <c r="B116" i="1"/>
  <c r="G109" i="1"/>
  <c r="H109" i="1"/>
  <c r="V104" i="1" l="1"/>
  <c r="AM108" i="1"/>
  <c r="Q109" i="1"/>
  <c r="AK108" i="1"/>
  <c r="AN108" i="1" s="1"/>
  <c r="AN107" i="1"/>
  <c r="AQ107" i="1" s="1"/>
  <c r="AL108" i="1"/>
  <c r="AO108" i="1" s="1"/>
  <c r="S107" i="1"/>
  <c r="R107" i="1"/>
  <c r="D112" i="1"/>
  <c r="I111" i="1" s="1"/>
  <c r="J111" i="1" s="1"/>
  <c r="F111" i="1"/>
  <c r="E111" i="1"/>
  <c r="K110" i="1" s="1"/>
  <c r="AI109" i="1"/>
  <c r="AJ109" i="1"/>
  <c r="AA111" i="1"/>
  <c r="AG110" i="1" s="1"/>
  <c r="AB111" i="1"/>
  <c r="AT106" i="1"/>
  <c r="AR106" i="1" s="1"/>
  <c r="AC110" i="1"/>
  <c r="AD110" i="1"/>
  <c r="Z112" i="1"/>
  <c r="R108" i="1"/>
  <c r="AE110" i="1"/>
  <c r="AF110" i="1" s="1"/>
  <c r="X106" i="1"/>
  <c r="V106" i="1" s="1"/>
  <c r="S108" i="1"/>
  <c r="L110" i="1"/>
  <c r="N110" i="1"/>
  <c r="M110" i="1"/>
  <c r="O109" i="1"/>
  <c r="P109" i="1"/>
  <c r="A118" i="1"/>
  <c r="C117" i="1"/>
  <c r="B117" i="1"/>
  <c r="G110" i="1"/>
  <c r="H110" i="1"/>
  <c r="AP107" i="1" l="1"/>
  <c r="AS107" i="1" s="1"/>
  <c r="T107" i="1"/>
  <c r="W107" i="1" s="1"/>
  <c r="Q110" i="1"/>
  <c r="U107" i="1"/>
  <c r="X107" i="1" s="1"/>
  <c r="AL109" i="1"/>
  <c r="AK109" i="1"/>
  <c r="AM109" i="1"/>
  <c r="F112" i="1"/>
  <c r="E112" i="1"/>
  <c r="K111" i="1" s="1"/>
  <c r="D113" i="1"/>
  <c r="I112" i="1" s="1"/>
  <c r="J112" i="1" s="1"/>
  <c r="AE111" i="1"/>
  <c r="AF111" i="1" s="1"/>
  <c r="AJ111" i="1" s="1"/>
  <c r="AB112" i="1"/>
  <c r="AA112" i="1"/>
  <c r="AG111" i="1" s="1"/>
  <c r="AQ108" i="1"/>
  <c r="AT107" i="1"/>
  <c r="AR107" i="1" s="1"/>
  <c r="AI110" i="1"/>
  <c r="AH110" i="1"/>
  <c r="AJ110" i="1"/>
  <c r="AC111" i="1"/>
  <c r="AD111" i="1"/>
  <c r="AP108" i="1"/>
  <c r="T108" i="1"/>
  <c r="W108" i="1" s="1"/>
  <c r="Z113" i="1"/>
  <c r="U108" i="1"/>
  <c r="R109" i="1"/>
  <c r="S109" i="1"/>
  <c r="L111" i="1"/>
  <c r="N111" i="1"/>
  <c r="M111" i="1"/>
  <c r="O110" i="1"/>
  <c r="P110" i="1"/>
  <c r="H111" i="1"/>
  <c r="G111" i="1"/>
  <c r="A119" i="1"/>
  <c r="B118" i="1"/>
  <c r="C118" i="1"/>
  <c r="AN109" i="1" l="1"/>
  <c r="V107" i="1"/>
  <c r="Q111" i="1"/>
  <c r="AO109" i="1"/>
  <c r="AH111" i="1"/>
  <c r="AI111" i="1"/>
  <c r="E113" i="1"/>
  <c r="K112" i="1" s="1"/>
  <c r="D114" i="1"/>
  <c r="I113" i="1" s="1"/>
  <c r="J113" i="1" s="1"/>
  <c r="F113" i="1"/>
  <c r="AE112" i="1"/>
  <c r="AF112" i="1" s="1"/>
  <c r="AI112" i="1" s="1"/>
  <c r="AB113" i="1"/>
  <c r="AA113" i="1"/>
  <c r="AG112" i="1" s="1"/>
  <c r="AT108" i="1"/>
  <c r="AS108" i="1"/>
  <c r="Z114" i="1"/>
  <c r="AC112" i="1"/>
  <c r="AD112" i="1"/>
  <c r="AK110" i="1"/>
  <c r="AL110" i="1"/>
  <c r="AM110" i="1"/>
  <c r="X108" i="1"/>
  <c r="V108" i="1" s="1"/>
  <c r="U109" i="1"/>
  <c r="T109" i="1"/>
  <c r="W109" i="1" s="1"/>
  <c r="S110" i="1"/>
  <c r="L112" i="1"/>
  <c r="N112" i="1"/>
  <c r="M112" i="1"/>
  <c r="R110" i="1"/>
  <c r="P111" i="1"/>
  <c r="O111" i="1"/>
  <c r="A120" i="1"/>
  <c r="B119" i="1"/>
  <c r="C119" i="1"/>
  <c r="G112" i="1"/>
  <c r="H112" i="1"/>
  <c r="AQ109" i="1" l="1"/>
  <c r="AP109" i="1"/>
  <c r="AS109" i="1" s="1"/>
  <c r="AR108" i="1"/>
  <c r="Q112" i="1"/>
  <c r="AK111" i="1"/>
  <c r="AL111" i="1"/>
  <c r="AM111" i="1"/>
  <c r="AN111" i="1" s="1"/>
  <c r="AH112" i="1"/>
  <c r="AJ112" i="1"/>
  <c r="D115" i="1"/>
  <c r="I114" i="1" s="1"/>
  <c r="J114" i="1" s="1"/>
  <c r="E114" i="1"/>
  <c r="K113" i="1" s="1"/>
  <c r="F114" i="1"/>
  <c r="AE113" i="1"/>
  <c r="AF113" i="1" s="1"/>
  <c r="AI113" i="1" s="1"/>
  <c r="AB114" i="1"/>
  <c r="AA114" i="1"/>
  <c r="AG113" i="1" s="1"/>
  <c r="AT109" i="1"/>
  <c r="AR109" i="1" s="1"/>
  <c r="AO110" i="1"/>
  <c r="AC113" i="1"/>
  <c r="AD113" i="1"/>
  <c r="AN110" i="1"/>
  <c r="Z115" i="1"/>
  <c r="T110" i="1"/>
  <c r="W110" i="1" s="1"/>
  <c r="U110" i="1"/>
  <c r="X109" i="1"/>
  <c r="V109" i="1" s="1"/>
  <c r="S111" i="1"/>
  <c r="R111" i="1"/>
  <c r="L113" i="1"/>
  <c r="N113" i="1"/>
  <c r="M113" i="1"/>
  <c r="O112" i="1"/>
  <c r="P112" i="1"/>
  <c r="G113" i="1"/>
  <c r="H113" i="1"/>
  <c r="A121" i="1"/>
  <c r="C120" i="1"/>
  <c r="B120" i="1"/>
  <c r="AO111" i="1" l="1"/>
  <c r="AL112" i="1"/>
  <c r="Q113" i="1"/>
  <c r="AK112" i="1"/>
  <c r="AM112" i="1"/>
  <c r="AH113" i="1"/>
  <c r="AJ113" i="1"/>
  <c r="D116" i="1"/>
  <c r="I115" i="1" s="1"/>
  <c r="J115" i="1" s="1"/>
  <c r="F115" i="1"/>
  <c r="E115" i="1"/>
  <c r="K114" i="1" s="1"/>
  <c r="AE114" i="1"/>
  <c r="AF114" i="1" s="1"/>
  <c r="AH114" i="1" s="1"/>
  <c r="AA115" i="1"/>
  <c r="AG114" i="1" s="1"/>
  <c r="AB115" i="1"/>
  <c r="Z116" i="1"/>
  <c r="AN112" i="1"/>
  <c r="AQ111" i="1"/>
  <c r="AP111" i="1"/>
  <c r="AS111" i="1" s="1"/>
  <c r="AP110" i="1"/>
  <c r="AS110" i="1" s="1"/>
  <c r="AQ110" i="1"/>
  <c r="AC114" i="1"/>
  <c r="AD114" i="1"/>
  <c r="X110" i="1"/>
  <c r="V110" i="1" s="1"/>
  <c r="T111" i="1"/>
  <c r="W111" i="1" s="1"/>
  <c r="U111" i="1"/>
  <c r="R112" i="1"/>
  <c r="S112" i="1"/>
  <c r="L114" i="1"/>
  <c r="N114" i="1"/>
  <c r="M114" i="1"/>
  <c r="P113" i="1"/>
  <c r="O113" i="1"/>
  <c r="G114" i="1"/>
  <c r="H114" i="1"/>
  <c r="A122" i="1"/>
  <c r="C121" i="1"/>
  <c r="B121" i="1"/>
  <c r="AO112" i="1" l="1"/>
  <c r="AK113" i="1"/>
  <c r="AM113" i="1"/>
  <c r="AN113" i="1" s="1"/>
  <c r="AL113" i="1"/>
  <c r="Q114" i="1"/>
  <c r="AI114" i="1"/>
  <c r="AJ114" i="1"/>
  <c r="D117" i="1"/>
  <c r="E116" i="1"/>
  <c r="K115" i="1" s="1"/>
  <c r="F116" i="1"/>
  <c r="AE115" i="1"/>
  <c r="AF115" i="1" s="1"/>
  <c r="AJ115" i="1" s="1"/>
  <c r="AA116" i="1"/>
  <c r="AG115" i="1" s="1"/>
  <c r="AB116" i="1"/>
  <c r="AO113" i="1"/>
  <c r="AT111" i="1"/>
  <c r="AR111" i="1" s="1"/>
  <c r="AT110" i="1"/>
  <c r="AR110" i="1" s="1"/>
  <c r="AP112" i="1"/>
  <c r="AS112" i="1" s="1"/>
  <c r="AQ112" i="1"/>
  <c r="AC115" i="1"/>
  <c r="AD115" i="1"/>
  <c r="Z117" i="1"/>
  <c r="U112" i="1"/>
  <c r="X111" i="1"/>
  <c r="V111" i="1" s="1"/>
  <c r="S113" i="1"/>
  <c r="T112" i="1"/>
  <c r="W112" i="1" s="1"/>
  <c r="R113" i="1"/>
  <c r="O114" i="1"/>
  <c r="P114" i="1"/>
  <c r="L115" i="1"/>
  <c r="M115" i="1"/>
  <c r="N115" i="1"/>
  <c r="A123" i="1"/>
  <c r="B122" i="1"/>
  <c r="C122" i="1"/>
  <c r="G115" i="1"/>
  <c r="H115" i="1"/>
  <c r="AM114" i="1" l="1"/>
  <c r="Q115" i="1"/>
  <c r="AL114" i="1"/>
  <c r="AK114" i="1"/>
  <c r="AH115" i="1"/>
  <c r="D118" i="1"/>
  <c r="E117" i="1"/>
  <c r="K116" i="1" s="1"/>
  <c r="F117" i="1"/>
  <c r="I116" i="1"/>
  <c r="J116" i="1" s="1"/>
  <c r="AI115" i="1"/>
  <c r="AE116" i="1"/>
  <c r="AF116" i="1" s="1"/>
  <c r="AI116" i="1" s="1"/>
  <c r="AA117" i="1"/>
  <c r="AG116" i="1" s="1"/>
  <c r="AB117" i="1"/>
  <c r="AT112" i="1"/>
  <c r="AR112" i="1" s="1"/>
  <c r="AC116" i="1"/>
  <c r="AD116" i="1"/>
  <c r="Z118" i="1"/>
  <c r="X112" i="1"/>
  <c r="V112" i="1" s="1"/>
  <c r="AP113" i="1"/>
  <c r="AS113" i="1" s="1"/>
  <c r="AQ113" i="1"/>
  <c r="T113" i="1"/>
  <c r="W113" i="1" s="1"/>
  <c r="U113" i="1"/>
  <c r="R114" i="1"/>
  <c r="S114" i="1"/>
  <c r="P115" i="1"/>
  <c r="O115" i="1"/>
  <c r="G116" i="1"/>
  <c r="H116" i="1"/>
  <c r="A124" i="1"/>
  <c r="B123" i="1"/>
  <c r="C123" i="1"/>
  <c r="AN114" i="1" l="1"/>
  <c r="AO114" i="1"/>
  <c r="AK115" i="1"/>
  <c r="AL115" i="1"/>
  <c r="AM115" i="1"/>
  <c r="L116" i="1"/>
  <c r="N116" i="1"/>
  <c r="M116" i="1"/>
  <c r="AJ116" i="1"/>
  <c r="AH116" i="1"/>
  <c r="F118" i="1"/>
  <c r="E118" i="1"/>
  <c r="K117" i="1" s="1"/>
  <c r="D119" i="1"/>
  <c r="I117" i="1"/>
  <c r="J117" i="1" s="1"/>
  <c r="AE117" i="1"/>
  <c r="AF117" i="1" s="1"/>
  <c r="AI117" i="1" s="1"/>
  <c r="AA118" i="1"/>
  <c r="AG117" i="1" s="1"/>
  <c r="AB118" i="1"/>
  <c r="AC117" i="1"/>
  <c r="AD117" i="1"/>
  <c r="AT113" i="1"/>
  <c r="AR113" i="1" s="1"/>
  <c r="Z119" i="1"/>
  <c r="X113" i="1"/>
  <c r="V113" i="1" s="1"/>
  <c r="U114" i="1"/>
  <c r="T114" i="1"/>
  <c r="W114" i="1" s="1"/>
  <c r="S115" i="1"/>
  <c r="R115" i="1"/>
  <c r="A125" i="1"/>
  <c r="C124" i="1"/>
  <c r="B124" i="1"/>
  <c r="G117" i="1"/>
  <c r="H117" i="1"/>
  <c r="AP114" i="1" l="1"/>
  <c r="AS114" i="1" s="1"/>
  <c r="AQ114" i="1"/>
  <c r="AO115" i="1"/>
  <c r="AN115" i="1"/>
  <c r="AQ115" i="1" s="1"/>
  <c r="AM116" i="1"/>
  <c r="Q116" i="1"/>
  <c r="AL116" i="1"/>
  <c r="AO116" i="1" s="1"/>
  <c r="E119" i="1"/>
  <c r="K118" i="1" s="1"/>
  <c r="D120" i="1"/>
  <c r="F119" i="1"/>
  <c r="I118" i="1"/>
  <c r="J118" i="1" s="1"/>
  <c r="N118" i="1" s="1"/>
  <c r="AK116" i="1"/>
  <c r="N117" i="1"/>
  <c r="M117" i="1"/>
  <c r="L117" i="1"/>
  <c r="O116" i="1"/>
  <c r="P116" i="1"/>
  <c r="AJ117" i="1"/>
  <c r="AH117" i="1"/>
  <c r="AE118" i="1"/>
  <c r="AF118" i="1" s="1"/>
  <c r="AI118" i="1" s="1"/>
  <c r="AA119" i="1"/>
  <c r="AG118" i="1" s="1"/>
  <c r="AB119" i="1"/>
  <c r="AT114" i="1"/>
  <c r="AR114" i="1" s="1"/>
  <c r="Z120" i="1"/>
  <c r="X114" i="1"/>
  <c r="V114" i="1" s="1"/>
  <c r="AC118" i="1"/>
  <c r="AD118" i="1"/>
  <c r="T115" i="1"/>
  <c r="W115" i="1" s="1"/>
  <c r="U115" i="1"/>
  <c r="G118" i="1"/>
  <c r="H118" i="1"/>
  <c r="A126" i="1"/>
  <c r="C125" i="1"/>
  <c r="B125" i="1"/>
  <c r="AP115" i="1" l="1"/>
  <c r="AS115" i="1" s="1"/>
  <c r="AN116" i="1"/>
  <c r="Q117" i="1"/>
  <c r="M118" i="1"/>
  <c r="AM117" i="1"/>
  <c r="S116" i="1"/>
  <c r="L118" i="1"/>
  <c r="Q118" i="1" s="1"/>
  <c r="R116" i="1"/>
  <c r="AJ118" i="1"/>
  <c r="E120" i="1"/>
  <c r="K119" i="1" s="1"/>
  <c r="F120" i="1"/>
  <c r="D121" i="1"/>
  <c r="AL117" i="1"/>
  <c r="AO117" i="1" s="1"/>
  <c r="AK117" i="1"/>
  <c r="O117" i="1"/>
  <c r="P117" i="1"/>
  <c r="I119" i="1"/>
  <c r="J119" i="1" s="1"/>
  <c r="AH118" i="1"/>
  <c r="AE119" i="1"/>
  <c r="AF119" i="1" s="1"/>
  <c r="AJ119" i="1" s="1"/>
  <c r="AB120" i="1"/>
  <c r="AA120" i="1"/>
  <c r="AG119" i="1" s="1"/>
  <c r="AT115" i="1"/>
  <c r="AR115" i="1" s="1"/>
  <c r="AC119" i="1"/>
  <c r="AD119" i="1"/>
  <c r="Z121" i="1"/>
  <c r="AQ116" i="1"/>
  <c r="AP116" i="1"/>
  <c r="AS116" i="1" s="1"/>
  <c r="X115" i="1"/>
  <c r="V115" i="1" s="1"/>
  <c r="A127" i="1"/>
  <c r="B126" i="1"/>
  <c r="C126" i="1"/>
  <c r="G119" i="1"/>
  <c r="H119" i="1"/>
  <c r="AN117" i="1" l="1"/>
  <c r="P118" i="1"/>
  <c r="O118" i="1"/>
  <c r="AK118" i="1"/>
  <c r="AI119" i="1"/>
  <c r="AH119" i="1"/>
  <c r="AL119" i="1" s="1"/>
  <c r="AM118" i="1"/>
  <c r="AL118" i="1"/>
  <c r="AO118" i="1" s="1"/>
  <c r="S117" i="1"/>
  <c r="T116" i="1"/>
  <c r="U116" i="1"/>
  <c r="R117" i="1"/>
  <c r="F121" i="1"/>
  <c r="E121" i="1"/>
  <c r="K120" i="1" s="1"/>
  <c r="D122" i="1"/>
  <c r="I120" i="1"/>
  <c r="J120" i="1" s="1"/>
  <c r="M119" i="1"/>
  <c r="N119" i="1"/>
  <c r="L119" i="1"/>
  <c r="AE120" i="1"/>
  <c r="AF120" i="1" s="1"/>
  <c r="AJ120" i="1" s="1"/>
  <c r="AB121" i="1"/>
  <c r="AA121" i="1"/>
  <c r="AG120" i="1" s="1"/>
  <c r="AQ117" i="1"/>
  <c r="AP117" i="1"/>
  <c r="AS117" i="1" s="1"/>
  <c r="AT116" i="1"/>
  <c r="AR116" i="1" s="1"/>
  <c r="AC120" i="1"/>
  <c r="AD120" i="1"/>
  <c r="Z122" i="1"/>
  <c r="S118" i="1"/>
  <c r="R118" i="1"/>
  <c r="G120" i="1"/>
  <c r="H120" i="1"/>
  <c r="A128" i="1"/>
  <c r="B127" i="1"/>
  <c r="C127" i="1"/>
  <c r="AN118" i="1" l="1"/>
  <c r="Q119" i="1"/>
  <c r="AK119" i="1"/>
  <c r="AM119" i="1"/>
  <c r="AN119" i="1" s="1"/>
  <c r="W116" i="1"/>
  <c r="X116" i="1"/>
  <c r="N120" i="1"/>
  <c r="L120" i="1"/>
  <c r="M120" i="1"/>
  <c r="D123" i="1"/>
  <c r="I122" i="1" s="1"/>
  <c r="J122" i="1" s="1"/>
  <c r="F122" i="1"/>
  <c r="E122" i="1"/>
  <c r="K121" i="1" s="1"/>
  <c r="I121" i="1"/>
  <c r="J121" i="1" s="1"/>
  <c r="P119" i="1"/>
  <c r="O119" i="1"/>
  <c r="U117" i="1"/>
  <c r="T117" i="1"/>
  <c r="AH120" i="1"/>
  <c r="AI120" i="1"/>
  <c r="AE121" i="1"/>
  <c r="AF121" i="1" s="1"/>
  <c r="AJ121" i="1" s="1"/>
  <c r="AB122" i="1"/>
  <c r="AA122" i="1"/>
  <c r="AG121" i="1" s="1"/>
  <c r="AT117" i="1"/>
  <c r="AR117" i="1" s="1"/>
  <c r="AO119" i="1"/>
  <c r="AP118" i="1"/>
  <c r="AS118" i="1" s="1"/>
  <c r="Z123" i="1"/>
  <c r="AC121" i="1"/>
  <c r="AD121" i="1"/>
  <c r="AQ118" i="1"/>
  <c r="T118" i="1"/>
  <c r="W118" i="1" s="1"/>
  <c r="U118" i="1"/>
  <c r="A129" i="1"/>
  <c r="C128" i="1"/>
  <c r="B128" i="1"/>
  <c r="G121" i="1"/>
  <c r="H121" i="1"/>
  <c r="V116" i="1" l="1"/>
  <c r="Q120" i="1"/>
  <c r="AK120" i="1"/>
  <c r="AH121" i="1"/>
  <c r="L121" i="1"/>
  <c r="M121" i="1"/>
  <c r="N121" i="1"/>
  <c r="W117" i="1"/>
  <c r="X117" i="1"/>
  <c r="F123" i="1"/>
  <c r="D124" i="1"/>
  <c r="E123" i="1"/>
  <c r="K122" i="1" s="1"/>
  <c r="AM120" i="1"/>
  <c r="AL120" i="1"/>
  <c r="S119" i="1"/>
  <c r="P120" i="1"/>
  <c r="S120" i="1" s="1"/>
  <c r="O120" i="1"/>
  <c r="AI121" i="1"/>
  <c r="R119" i="1"/>
  <c r="AE122" i="1"/>
  <c r="AF122" i="1" s="1"/>
  <c r="AI122" i="1" s="1"/>
  <c r="AA123" i="1"/>
  <c r="AG122" i="1" s="1"/>
  <c r="AB123" i="1"/>
  <c r="AT118" i="1"/>
  <c r="AR118" i="1" s="1"/>
  <c r="AO120" i="1"/>
  <c r="Z124" i="1"/>
  <c r="AC122" i="1"/>
  <c r="AD122" i="1"/>
  <c r="AQ119" i="1"/>
  <c r="AP119" i="1"/>
  <c r="AS119" i="1" s="1"/>
  <c r="X118" i="1"/>
  <c r="V118" i="1" s="1"/>
  <c r="L122" i="1"/>
  <c r="M122" i="1"/>
  <c r="N122" i="1"/>
  <c r="G122" i="1"/>
  <c r="H122" i="1"/>
  <c r="A130" i="1"/>
  <c r="C129" i="1"/>
  <c r="B129" i="1"/>
  <c r="V117" i="1" l="1"/>
  <c r="AN120" i="1"/>
  <c r="Q122" i="1"/>
  <c r="Q121" i="1"/>
  <c r="AJ122" i="1"/>
  <c r="AH122" i="1"/>
  <c r="AK121" i="1"/>
  <c r="AM121" i="1"/>
  <c r="R120" i="1"/>
  <c r="AL121" i="1"/>
  <c r="D125" i="1"/>
  <c r="E124" i="1"/>
  <c r="K123" i="1" s="1"/>
  <c r="F124" i="1"/>
  <c r="I123" i="1"/>
  <c r="J123" i="1" s="1"/>
  <c r="M123" i="1" s="1"/>
  <c r="O121" i="1"/>
  <c r="P121" i="1"/>
  <c r="T119" i="1"/>
  <c r="U119" i="1"/>
  <c r="AE123" i="1"/>
  <c r="AF123" i="1" s="1"/>
  <c r="AJ123" i="1" s="1"/>
  <c r="AA124" i="1"/>
  <c r="AG123" i="1" s="1"/>
  <c r="AB124" i="1"/>
  <c r="AC123" i="1"/>
  <c r="AD123" i="1"/>
  <c r="Z125" i="1"/>
  <c r="AT119" i="1"/>
  <c r="AR119" i="1" s="1"/>
  <c r="AQ120" i="1"/>
  <c r="AP120" i="1"/>
  <c r="O122" i="1"/>
  <c r="P122" i="1"/>
  <c r="A131" i="1"/>
  <c r="B130" i="1"/>
  <c r="C130" i="1"/>
  <c r="G123" i="1"/>
  <c r="H123" i="1"/>
  <c r="AL122" i="1" l="1"/>
  <c r="AO121" i="1"/>
  <c r="AK122" i="1"/>
  <c r="AM122" i="1"/>
  <c r="AN121" i="1"/>
  <c r="AQ121" i="1" s="1"/>
  <c r="AI123" i="1"/>
  <c r="AH123" i="1"/>
  <c r="R121" i="1"/>
  <c r="F125" i="1"/>
  <c r="E125" i="1"/>
  <c r="K124" i="1" s="1"/>
  <c r="D126" i="1"/>
  <c r="W119" i="1"/>
  <c r="X119" i="1"/>
  <c r="T120" i="1"/>
  <c r="U120" i="1"/>
  <c r="N123" i="1"/>
  <c r="L123" i="1"/>
  <c r="S121" i="1"/>
  <c r="I124" i="1"/>
  <c r="J124" i="1" s="1"/>
  <c r="AE124" i="1"/>
  <c r="AF124" i="1" s="1"/>
  <c r="AH124" i="1" s="1"/>
  <c r="AA125" i="1"/>
  <c r="AG124" i="1" s="1"/>
  <c r="AB125" i="1"/>
  <c r="AT120" i="1"/>
  <c r="AR120" i="1" s="1"/>
  <c r="AS120" i="1"/>
  <c r="AC124" i="1"/>
  <c r="AD124" i="1"/>
  <c r="Z126" i="1"/>
  <c r="R122" i="1"/>
  <c r="S122" i="1"/>
  <c r="G124" i="1"/>
  <c r="H124" i="1"/>
  <c r="A132" i="1"/>
  <c r="B131" i="1"/>
  <c r="C131" i="1"/>
  <c r="AO122" i="1" l="1"/>
  <c r="AP121" i="1"/>
  <c r="AS121" i="1" s="1"/>
  <c r="AL123" i="1"/>
  <c r="AN122" i="1"/>
  <c r="AK123" i="1"/>
  <c r="V119" i="1"/>
  <c r="AM123" i="1"/>
  <c r="AO123" i="1" s="1"/>
  <c r="Q123" i="1"/>
  <c r="P123" i="1"/>
  <c r="W120" i="1"/>
  <c r="X120" i="1"/>
  <c r="N124" i="1"/>
  <c r="L124" i="1"/>
  <c r="M124" i="1"/>
  <c r="F126" i="1"/>
  <c r="D127" i="1"/>
  <c r="E126" i="1"/>
  <c r="K125" i="1" s="1"/>
  <c r="I125" i="1"/>
  <c r="J125" i="1" s="1"/>
  <c r="O123" i="1"/>
  <c r="U121" i="1"/>
  <c r="T121" i="1"/>
  <c r="AI124" i="1"/>
  <c r="AJ124" i="1"/>
  <c r="AE125" i="1"/>
  <c r="AF125" i="1" s="1"/>
  <c r="AH125" i="1" s="1"/>
  <c r="AA126" i="1"/>
  <c r="AG125" i="1" s="1"/>
  <c r="AB126" i="1"/>
  <c r="T122" i="1"/>
  <c r="W122" i="1" s="1"/>
  <c r="AQ122" i="1"/>
  <c r="AP122" i="1"/>
  <c r="AT121" i="1"/>
  <c r="AR121" i="1" s="1"/>
  <c r="AC125" i="1"/>
  <c r="AD125" i="1"/>
  <c r="Z127" i="1"/>
  <c r="U122" i="1"/>
  <c r="A133" i="1"/>
  <c r="C132" i="1"/>
  <c r="B132" i="1"/>
  <c r="G125" i="1"/>
  <c r="H125" i="1"/>
  <c r="AN123" i="1" l="1"/>
  <c r="R123" i="1"/>
  <c r="V120" i="1"/>
  <c r="Q124" i="1"/>
  <c r="AK124" i="1"/>
  <c r="S123" i="1"/>
  <c r="U123" i="1" s="1"/>
  <c r="D128" i="1"/>
  <c r="I127" i="1" s="1"/>
  <c r="J127" i="1" s="1"/>
  <c r="F127" i="1"/>
  <c r="E127" i="1"/>
  <c r="K126" i="1" s="1"/>
  <c r="AI125" i="1"/>
  <c r="W121" i="1"/>
  <c r="X121" i="1"/>
  <c r="AJ125" i="1"/>
  <c r="O124" i="1"/>
  <c r="P124" i="1"/>
  <c r="S124" i="1" s="1"/>
  <c r="AM124" i="1"/>
  <c r="AL124" i="1"/>
  <c r="I126" i="1"/>
  <c r="J126" i="1" s="1"/>
  <c r="N126" i="1" s="1"/>
  <c r="L125" i="1"/>
  <c r="M125" i="1"/>
  <c r="N125" i="1"/>
  <c r="X122" i="1"/>
  <c r="V122" i="1" s="1"/>
  <c r="AA127" i="1"/>
  <c r="AG126" i="1" s="1"/>
  <c r="AB127" i="1"/>
  <c r="AT122" i="1"/>
  <c r="AS122" i="1"/>
  <c r="Z128" i="1"/>
  <c r="AQ123" i="1"/>
  <c r="AP123" i="1"/>
  <c r="AC126" i="1"/>
  <c r="AD126" i="1"/>
  <c r="AE126" i="1"/>
  <c r="AF126" i="1" s="1"/>
  <c r="G126" i="1"/>
  <c r="H126" i="1"/>
  <c r="A134" i="1"/>
  <c r="C133" i="1"/>
  <c r="B133" i="1"/>
  <c r="T123" i="1" l="1"/>
  <c r="W123" i="1" s="1"/>
  <c r="AR122" i="1"/>
  <c r="V121" i="1"/>
  <c r="Q125" i="1"/>
  <c r="R124" i="1"/>
  <c r="U124" i="1" s="1"/>
  <c r="AK125" i="1"/>
  <c r="AM125" i="1"/>
  <c r="AO124" i="1"/>
  <c r="AL125" i="1"/>
  <c r="O125" i="1"/>
  <c r="P125" i="1"/>
  <c r="M126" i="1"/>
  <c r="L126" i="1"/>
  <c r="Q126" i="1" s="1"/>
  <c r="AN124" i="1"/>
  <c r="D129" i="1"/>
  <c r="I128" i="1" s="1"/>
  <c r="J128" i="1" s="1"/>
  <c r="F128" i="1"/>
  <c r="E128" i="1"/>
  <c r="K127" i="1" s="1"/>
  <c r="AE127" i="1"/>
  <c r="AF127" i="1" s="1"/>
  <c r="AH127" i="1" s="1"/>
  <c r="AB128" i="1"/>
  <c r="AA128" i="1"/>
  <c r="AG127" i="1" s="1"/>
  <c r="AT123" i="1"/>
  <c r="AS123" i="1"/>
  <c r="AC127" i="1"/>
  <c r="AD127" i="1"/>
  <c r="AH126" i="1"/>
  <c r="AJ126" i="1"/>
  <c r="AI126" i="1"/>
  <c r="Z129" i="1"/>
  <c r="X123" i="1"/>
  <c r="V123" i="1" s="1"/>
  <c r="L127" i="1"/>
  <c r="N127" i="1"/>
  <c r="M127" i="1"/>
  <c r="A135" i="1"/>
  <c r="B134" i="1"/>
  <c r="C134" i="1"/>
  <c r="G127" i="1"/>
  <c r="H127" i="1"/>
  <c r="AO125" i="1" l="1"/>
  <c r="AP124" i="1"/>
  <c r="AS124" i="1" s="1"/>
  <c r="AN125" i="1"/>
  <c r="AR123" i="1"/>
  <c r="R125" i="1"/>
  <c r="AQ124" i="1"/>
  <c r="AT124" i="1" s="1"/>
  <c r="AR124" i="1" s="1"/>
  <c r="T124" i="1"/>
  <c r="W124" i="1" s="1"/>
  <c r="Q127" i="1"/>
  <c r="O126" i="1"/>
  <c r="AJ127" i="1"/>
  <c r="AI127" i="1"/>
  <c r="AM127" i="1" s="1"/>
  <c r="P126" i="1"/>
  <c r="S126" i="1" s="1"/>
  <c r="S125" i="1"/>
  <c r="D130" i="1"/>
  <c r="I129" i="1" s="1"/>
  <c r="J129" i="1" s="1"/>
  <c r="F129" i="1"/>
  <c r="E129" i="1"/>
  <c r="K128" i="1" s="1"/>
  <c r="AE128" i="1"/>
  <c r="AF128" i="1" s="1"/>
  <c r="AJ128" i="1" s="1"/>
  <c r="AB129" i="1"/>
  <c r="AA129" i="1"/>
  <c r="AG128" i="1" s="1"/>
  <c r="AQ125" i="1"/>
  <c r="AP125" i="1"/>
  <c r="AS125" i="1" s="1"/>
  <c r="AK126" i="1"/>
  <c r="AL126" i="1"/>
  <c r="AM126" i="1"/>
  <c r="AC128" i="1"/>
  <c r="AD128" i="1"/>
  <c r="Z130" i="1"/>
  <c r="L128" i="1"/>
  <c r="M128" i="1"/>
  <c r="N128" i="1"/>
  <c r="P127" i="1"/>
  <c r="O127" i="1"/>
  <c r="G128" i="1"/>
  <c r="H128" i="1"/>
  <c r="A136" i="1"/>
  <c r="B135" i="1"/>
  <c r="C135" i="1"/>
  <c r="X124" i="1" l="1"/>
  <c r="AL127" i="1"/>
  <c r="V124" i="1"/>
  <c r="AK127" i="1"/>
  <c r="Q128" i="1"/>
  <c r="R126" i="1"/>
  <c r="T126" i="1" s="1"/>
  <c r="W126" i="1" s="1"/>
  <c r="E130" i="1"/>
  <c r="K129" i="1" s="1"/>
  <c r="D131" i="1"/>
  <c r="F130" i="1"/>
  <c r="T125" i="1"/>
  <c r="U125" i="1"/>
  <c r="AI128" i="1"/>
  <c r="AH128" i="1"/>
  <c r="AE129" i="1"/>
  <c r="AF129" i="1" s="1"/>
  <c r="AH129" i="1" s="1"/>
  <c r="AB130" i="1"/>
  <c r="AA130" i="1"/>
  <c r="AG129" i="1" s="1"/>
  <c r="AT125" i="1"/>
  <c r="AR125" i="1" s="1"/>
  <c r="AO126" i="1"/>
  <c r="R127" i="1"/>
  <c r="AO127" i="1"/>
  <c r="AC129" i="1"/>
  <c r="AD129" i="1"/>
  <c r="AN126" i="1"/>
  <c r="AN127" i="1"/>
  <c r="Z131" i="1"/>
  <c r="S127" i="1"/>
  <c r="L129" i="1"/>
  <c r="N129" i="1"/>
  <c r="M129" i="1"/>
  <c r="O128" i="1"/>
  <c r="P128" i="1"/>
  <c r="A137" i="1"/>
  <c r="C136" i="1"/>
  <c r="B136" i="1"/>
  <c r="G129" i="1"/>
  <c r="H129" i="1"/>
  <c r="U126" i="1" l="1"/>
  <c r="Q129" i="1"/>
  <c r="AK128" i="1"/>
  <c r="W125" i="1"/>
  <c r="X125" i="1"/>
  <c r="AM128" i="1"/>
  <c r="AN128" i="1" s="1"/>
  <c r="D132" i="1"/>
  <c r="I131" i="1" s="1"/>
  <c r="J131" i="1" s="1"/>
  <c r="E131" i="1"/>
  <c r="K130" i="1" s="1"/>
  <c r="F131" i="1"/>
  <c r="I130" i="1"/>
  <c r="J130" i="1" s="1"/>
  <c r="AL128" i="1"/>
  <c r="AI129" i="1"/>
  <c r="AJ129" i="1"/>
  <c r="AE130" i="1"/>
  <c r="AF130" i="1" s="1"/>
  <c r="AI130" i="1" s="1"/>
  <c r="AA131" i="1"/>
  <c r="AG130" i="1" s="1"/>
  <c r="AB131" i="1"/>
  <c r="T127" i="1"/>
  <c r="W127" i="1" s="1"/>
  <c r="R128" i="1"/>
  <c r="AQ127" i="1"/>
  <c r="AP127" i="1"/>
  <c r="AS127" i="1" s="1"/>
  <c r="AC130" i="1"/>
  <c r="AD130" i="1"/>
  <c r="Z132" i="1"/>
  <c r="AP126" i="1"/>
  <c r="AS126" i="1" s="1"/>
  <c r="AQ126" i="1"/>
  <c r="X126" i="1"/>
  <c r="U127" i="1"/>
  <c r="S128" i="1"/>
  <c r="O129" i="1"/>
  <c r="P129" i="1"/>
  <c r="G130" i="1"/>
  <c r="H130" i="1"/>
  <c r="A138" i="1"/>
  <c r="C137" i="1"/>
  <c r="B137" i="1"/>
  <c r="V126" i="1" l="1"/>
  <c r="V125" i="1"/>
  <c r="AK129" i="1"/>
  <c r="AO128" i="1"/>
  <c r="AM129" i="1"/>
  <c r="AN129" i="1" s="1"/>
  <c r="AL129" i="1"/>
  <c r="AO129" i="1" s="1"/>
  <c r="L130" i="1"/>
  <c r="N130" i="1"/>
  <c r="M130" i="1"/>
  <c r="D133" i="1"/>
  <c r="I132" i="1" s="1"/>
  <c r="J132" i="1" s="1"/>
  <c r="E132" i="1"/>
  <c r="K131" i="1" s="1"/>
  <c r="F132" i="1"/>
  <c r="AH130" i="1"/>
  <c r="AJ130" i="1"/>
  <c r="AE131" i="1"/>
  <c r="AF131" i="1" s="1"/>
  <c r="AI131" i="1" s="1"/>
  <c r="AA132" i="1"/>
  <c r="AG131" i="1" s="1"/>
  <c r="AB132" i="1"/>
  <c r="X127" i="1"/>
  <c r="V127" i="1" s="1"/>
  <c r="T128" i="1"/>
  <c r="W128" i="1" s="1"/>
  <c r="U128" i="1"/>
  <c r="AP128" i="1"/>
  <c r="AS128" i="1" s="1"/>
  <c r="AQ128" i="1"/>
  <c r="AT127" i="1"/>
  <c r="AR127" i="1" s="1"/>
  <c r="AC131" i="1"/>
  <c r="AD131" i="1"/>
  <c r="AT126" i="1"/>
  <c r="AR126" i="1" s="1"/>
  <c r="Z133" i="1"/>
  <c r="S129" i="1"/>
  <c r="L131" i="1"/>
  <c r="N131" i="1"/>
  <c r="M131" i="1"/>
  <c r="R129" i="1"/>
  <c r="A139" i="1"/>
  <c r="B138" i="1"/>
  <c r="C138" i="1"/>
  <c r="G131" i="1"/>
  <c r="H131" i="1"/>
  <c r="Q130" i="1" l="1"/>
  <c r="Q131" i="1"/>
  <c r="AM130" i="1"/>
  <c r="AK130" i="1"/>
  <c r="F133" i="1"/>
  <c r="D134" i="1"/>
  <c r="I133" i="1" s="1"/>
  <c r="J133" i="1" s="1"/>
  <c r="E133" i="1"/>
  <c r="K132" i="1" s="1"/>
  <c r="AL130" i="1"/>
  <c r="O130" i="1"/>
  <c r="P130" i="1"/>
  <c r="AH131" i="1"/>
  <c r="AJ131" i="1"/>
  <c r="AT128" i="1"/>
  <c r="AR128" i="1" s="1"/>
  <c r="AE132" i="1"/>
  <c r="AF132" i="1" s="1"/>
  <c r="AH132" i="1" s="1"/>
  <c r="AA133" i="1"/>
  <c r="AG132" i="1" s="1"/>
  <c r="AB133" i="1"/>
  <c r="X128" i="1"/>
  <c r="V128" i="1" s="1"/>
  <c r="AP129" i="1"/>
  <c r="AS129" i="1" s="1"/>
  <c r="AQ129" i="1"/>
  <c r="AC132" i="1"/>
  <c r="AD132" i="1"/>
  <c r="Z134" i="1"/>
  <c r="T129" i="1"/>
  <c r="W129" i="1" s="1"/>
  <c r="U129" i="1"/>
  <c r="L132" i="1"/>
  <c r="M132" i="1"/>
  <c r="N132" i="1"/>
  <c r="P131" i="1"/>
  <c r="O131" i="1"/>
  <c r="A140" i="1"/>
  <c r="B139" i="1"/>
  <c r="C139" i="1"/>
  <c r="G132" i="1"/>
  <c r="H132" i="1"/>
  <c r="AN130" i="1" l="1"/>
  <c r="AO130" i="1"/>
  <c r="Q132" i="1"/>
  <c r="AI132" i="1"/>
  <c r="R130" i="1"/>
  <c r="AJ132" i="1"/>
  <c r="AL132" i="1" s="1"/>
  <c r="AK131" i="1"/>
  <c r="S130" i="1"/>
  <c r="T130" i="1" s="1"/>
  <c r="AL131" i="1"/>
  <c r="D135" i="1"/>
  <c r="E134" i="1"/>
  <c r="K133" i="1" s="1"/>
  <c r="F134" i="1"/>
  <c r="AM131" i="1"/>
  <c r="AE133" i="1"/>
  <c r="AF133" i="1" s="1"/>
  <c r="AI133" i="1" s="1"/>
  <c r="AA134" i="1"/>
  <c r="AG133" i="1" s="1"/>
  <c r="AB134" i="1"/>
  <c r="R131" i="1"/>
  <c r="AC133" i="1"/>
  <c r="AD133" i="1"/>
  <c r="Z135" i="1"/>
  <c r="AT129" i="1"/>
  <c r="AR129" i="1" s="1"/>
  <c r="S131" i="1"/>
  <c r="X129" i="1"/>
  <c r="V129" i="1" s="1"/>
  <c r="L133" i="1"/>
  <c r="M133" i="1"/>
  <c r="N133" i="1"/>
  <c r="O132" i="1"/>
  <c r="P132" i="1"/>
  <c r="G133" i="1"/>
  <c r="H133" i="1"/>
  <c r="A141" i="1"/>
  <c r="C140" i="1"/>
  <c r="B140" i="1"/>
  <c r="AM132" i="1" l="1"/>
  <c r="AP130" i="1"/>
  <c r="AS130" i="1" s="1"/>
  <c r="AQ130" i="1"/>
  <c r="AT130" i="1" s="1"/>
  <c r="AR130" i="1" s="1"/>
  <c r="AK132" i="1"/>
  <c r="AN132" i="1" s="1"/>
  <c r="Q133" i="1"/>
  <c r="U130" i="1"/>
  <c r="X130" i="1" s="1"/>
  <c r="AO131" i="1"/>
  <c r="AJ133" i="1"/>
  <c r="AH133" i="1"/>
  <c r="W130" i="1"/>
  <c r="E135" i="1"/>
  <c r="K134" i="1" s="1"/>
  <c r="D136" i="1"/>
  <c r="F135" i="1"/>
  <c r="I134" i="1"/>
  <c r="J134" i="1" s="1"/>
  <c r="AN131" i="1"/>
  <c r="AQ131" i="1" s="1"/>
  <c r="AP131" i="1"/>
  <c r="AS131" i="1" s="1"/>
  <c r="AE134" i="1"/>
  <c r="AF134" i="1" s="1"/>
  <c r="AJ134" i="1" s="1"/>
  <c r="AA135" i="1"/>
  <c r="AG134" i="1" s="1"/>
  <c r="AB135" i="1"/>
  <c r="T131" i="1"/>
  <c r="W131" i="1" s="1"/>
  <c r="AO132" i="1"/>
  <c r="U131" i="1"/>
  <c r="Z136" i="1"/>
  <c r="AC134" i="1"/>
  <c r="AD134" i="1"/>
  <c r="R132" i="1"/>
  <c r="O133" i="1"/>
  <c r="P133" i="1"/>
  <c r="S132" i="1"/>
  <c r="A142" i="1"/>
  <c r="C141" i="1"/>
  <c r="B141" i="1"/>
  <c r="G134" i="1"/>
  <c r="H134" i="1"/>
  <c r="V130" i="1" l="1"/>
  <c r="AM133" i="1"/>
  <c r="AL133" i="1"/>
  <c r="AH134" i="1"/>
  <c r="AI134" i="1"/>
  <c r="AK133" i="1"/>
  <c r="AN133" i="1" s="1"/>
  <c r="M134" i="1"/>
  <c r="N134" i="1"/>
  <c r="L134" i="1"/>
  <c r="E136" i="1"/>
  <c r="K135" i="1" s="1"/>
  <c r="D137" i="1"/>
  <c r="I136" i="1" s="1"/>
  <c r="J136" i="1" s="1"/>
  <c r="F136" i="1"/>
  <c r="I135" i="1"/>
  <c r="J135" i="1" s="1"/>
  <c r="AT131" i="1"/>
  <c r="AR131" i="1" s="1"/>
  <c r="AB136" i="1"/>
  <c r="AA136" i="1"/>
  <c r="AG135" i="1" s="1"/>
  <c r="X131" i="1"/>
  <c r="V131" i="1" s="1"/>
  <c r="R133" i="1"/>
  <c r="AO133" i="1"/>
  <c r="T132" i="1"/>
  <c r="W132" i="1" s="1"/>
  <c r="AQ132" i="1"/>
  <c r="AP132" i="1"/>
  <c r="Z137" i="1"/>
  <c r="AC135" i="1"/>
  <c r="AD135" i="1"/>
  <c r="AE135" i="1"/>
  <c r="AF135" i="1" s="1"/>
  <c r="U132" i="1"/>
  <c r="S133" i="1"/>
  <c r="A143" i="1"/>
  <c r="B142" i="1"/>
  <c r="C142" i="1"/>
  <c r="G135" i="1"/>
  <c r="H135" i="1"/>
  <c r="AL134" i="1" l="1"/>
  <c r="AK134" i="1"/>
  <c r="Q134" i="1"/>
  <c r="AM134" i="1"/>
  <c r="AN134" i="1" s="1"/>
  <c r="L135" i="1"/>
  <c r="M135" i="1"/>
  <c r="N135" i="1"/>
  <c r="E137" i="1"/>
  <c r="K136" i="1" s="1"/>
  <c r="D138" i="1"/>
  <c r="I137" i="1" s="1"/>
  <c r="J137" i="1" s="1"/>
  <c r="F137" i="1"/>
  <c r="P134" i="1"/>
  <c r="O134" i="1"/>
  <c r="AE136" i="1"/>
  <c r="AF136" i="1" s="1"/>
  <c r="AI136" i="1" s="1"/>
  <c r="AB137" i="1"/>
  <c r="AA137" i="1"/>
  <c r="AG136" i="1" s="1"/>
  <c r="T133" i="1"/>
  <c r="W133" i="1" s="1"/>
  <c r="AT132" i="1"/>
  <c r="AS132" i="1"/>
  <c r="AP133" i="1"/>
  <c r="AS133" i="1" s="1"/>
  <c r="AQ133" i="1"/>
  <c r="X132" i="1"/>
  <c r="V132" i="1" s="1"/>
  <c r="AC136" i="1"/>
  <c r="AD136" i="1"/>
  <c r="AO134" i="1"/>
  <c r="Z138" i="1"/>
  <c r="AJ135" i="1"/>
  <c r="AH135" i="1"/>
  <c r="AI135" i="1"/>
  <c r="U133" i="1"/>
  <c r="L136" i="1"/>
  <c r="N136" i="1"/>
  <c r="M136" i="1"/>
  <c r="A144" i="1"/>
  <c r="B143" i="1"/>
  <c r="C143" i="1"/>
  <c r="G136" i="1"/>
  <c r="H136" i="1"/>
  <c r="AR132" i="1" l="1"/>
  <c r="Q136" i="1"/>
  <c r="Q135" i="1"/>
  <c r="AH136" i="1"/>
  <c r="AJ136" i="1"/>
  <c r="S134" i="1"/>
  <c r="D139" i="1"/>
  <c r="I138" i="1" s="1"/>
  <c r="J138" i="1" s="1"/>
  <c r="F138" i="1"/>
  <c r="E138" i="1"/>
  <c r="K137" i="1" s="1"/>
  <c r="R134" i="1"/>
  <c r="O135" i="1"/>
  <c r="P135" i="1"/>
  <c r="AE137" i="1"/>
  <c r="AF137" i="1" s="1"/>
  <c r="AI137" i="1" s="1"/>
  <c r="AB138" i="1"/>
  <c r="AA138" i="1"/>
  <c r="AG137" i="1" s="1"/>
  <c r="X133" i="1"/>
  <c r="V133" i="1" s="1"/>
  <c r="AT133" i="1"/>
  <c r="AR133" i="1" s="1"/>
  <c r="Z139" i="1"/>
  <c r="AP134" i="1"/>
  <c r="AQ134" i="1"/>
  <c r="AK135" i="1"/>
  <c r="AL135" i="1"/>
  <c r="AM135" i="1"/>
  <c r="AC137" i="1"/>
  <c r="AD137" i="1"/>
  <c r="L137" i="1"/>
  <c r="N137" i="1"/>
  <c r="M137" i="1"/>
  <c r="P136" i="1"/>
  <c r="O136" i="1"/>
  <c r="G137" i="1"/>
  <c r="H137" i="1"/>
  <c r="A145" i="1"/>
  <c r="C144" i="1"/>
  <c r="B144" i="1"/>
  <c r="AM136" i="1" l="1"/>
  <c r="AK136" i="1"/>
  <c r="AN136" i="1" s="1"/>
  <c r="Q137" i="1"/>
  <c r="AL136" i="1"/>
  <c r="AH137" i="1"/>
  <c r="AJ137" i="1"/>
  <c r="R135" i="1"/>
  <c r="S135" i="1"/>
  <c r="U134" i="1"/>
  <c r="T134" i="1"/>
  <c r="D140" i="1"/>
  <c r="I139" i="1" s="1"/>
  <c r="J139" i="1" s="1"/>
  <c r="E139" i="1"/>
  <c r="K138" i="1" s="1"/>
  <c r="F139" i="1"/>
  <c r="AE138" i="1"/>
  <c r="AF138" i="1" s="1"/>
  <c r="AH138" i="1" s="1"/>
  <c r="AA139" i="1"/>
  <c r="AG138" i="1" s="1"/>
  <c r="AB139" i="1"/>
  <c r="S136" i="1"/>
  <c r="AT134" i="1"/>
  <c r="AS134" i="1"/>
  <c r="AO135" i="1"/>
  <c r="AC138" i="1"/>
  <c r="AD138" i="1"/>
  <c r="AN135" i="1"/>
  <c r="R136" i="1"/>
  <c r="Z140" i="1"/>
  <c r="L138" i="1"/>
  <c r="M138" i="1"/>
  <c r="N138" i="1"/>
  <c r="P137" i="1"/>
  <c r="O137" i="1"/>
  <c r="A146" i="1"/>
  <c r="C145" i="1"/>
  <c r="B145" i="1"/>
  <c r="G138" i="1"/>
  <c r="H138" i="1"/>
  <c r="AM137" i="1" l="1"/>
  <c r="AK137" i="1"/>
  <c r="AL137" i="1"/>
  <c r="AO136" i="1"/>
  <c r="AR134" i="1"/>
  <c r="Q138" i="1"/>
  <c r="T135" i="1"/>
  <c r="W135" i="1" s="1"/>
  <c r="D141" i="1"/>
  <c r="E140" i="1"/>
  <c r="K139" i="1" s="1"/>
  <c r="F140" i="1"/>
  <c r="W134" i="1"/>
  <c r="X134" i="1"/>
  <c r="AJ138" i="1"/>
  <c r="AI138" i="1"/>
  <c r="U135" i="1"/>
  <c r="AE139" i="1"/>
  <c r="AF139" i="1" s="1"/>
  <c r="AI139" i="1" s="1"/>
  <c r="AA140" i="1"/>
  <c r="AG139" i="1" s="1"/>
  <c r="AB140" i="1"/>
  <c r="T136" i="1"/>
  <c r="W136" i="1" s="1"/>
  <c r="S137" i="1"/>
  <c r="AO137" i="1"/>
  <c r="AN137" i="1"/>
  <c r="AC139" i="1"/>
  <c r="AD139" i="1"/>
  <c r="Z141" i="1"/>
  <c r="AQ135" i="1"/>
  <c r="AP135" i="1"/>
  <c r="AQ136" i="1"/>
  <c r="AP136" i="1"/>
  <c r="U136" i="1"/>
  <c r="R137" i="1"/>
  <c r="L139" i="1"/>
  <c r="M139" i="1"/>
  <c r="N139" i="1"/>
  <c r="O138" i="1"/>
  <c r="P138" i="1"/>
  <c r="G139" i="1"/>
  <c r="H139" i="1"/>
  <c r="A147" i="1"/>
  <c r="B146" i="1"/>
  <c r="C146" i="1"/>
  <c r="X135" i="1" l="1"/>
  <c r="V135" i="1" s="1"/>
  <c r="V134" i="1"/>
  <c r="Q139" i="1"/>
  <c r="AH139" i="1"/>
  <c r="AJ139" i="1"/>
  <c r="AM138" i="1"/>
  <c r="AL138" i="1"/>
  <c r="AK138" i="1"/>
  <c r="D142" i="1"/>
  <c r="I141" i="1" s="1"/>
  <c r="J141" i="1" s="1"/>
  <c r="E141" i="1"/>
  <c r="K140" i="1" s="1"/>
  <c r="F141" i="1"/>
  <c r="I140" i="1"/>
  <c r="J140" i="1" s="1"/>
  <c r="AE140" i="1"/>
  <c r="AF140" i="1" s="1"/>
  <c r="AH140" i="1" s="1"/>
  <c r="AA141" i="1"/>
  <c r="AG140" i="1" s="1"/>
  <c r="AB141" i="1"/>
  <c r="X136" i="1"/>
  <c r="V136" i="1" s="1"/>
  <c r="U137" i="1"/>
  <c r="T137" i="1"/>
  <c r="W137" i="1" s="1"/>
  <c r="AT135" i="1"/>
  <c r="AS135" i="1"/>
  <c r="AT136" i="1"/>
  <c r="AS136" i="1"/>
  <c r="Z142" i="1"/>
  <c r="AC140" i="1"/>
  <c r="AD140" i="1"/>
  <c r="AQ137" i="1"/>
  <c r="AP137" i="1"/>
  <c r="AS137" i="1" s="1"/>
  <c r="R138" i="1"/>
  <c r="O139" i="1"/>
  <c r="P139" i="1"/>
  <c r="S138" i="1"/>
  <c r="A148" i="1"/>
  <c r="B147" i="1"/>
  <c r="C147" i="1"/>
  <c r="G140" i="1"/>
  <c r="H140" i="1"/>
  <c r="AM139" i="1" l="1"/>
  <c r="AK139" i="1"/>
  <c r="AR135" i="1"/>
  <c r="AR136" i="1"/>
  <c r="AL139" i="1"/>
  <c r="AO139" i="1" s="1"/>
  <c r="AO138" i="1"/>
  <c r="AN138" i="1"/>
  <c r="AI140" i="1"/>
  <c r="AJ140" i="1"/>
  <c r="L140" i="1"/>
  <c r="M140" i="1"/>
  <c r="N140" i="1"/>
  <c r="D143" i="1"/>
  <c r="I142" i="1" s="1"/>
  <c r="J142" i="1" s="1"/>
  <c r="E142" i="1"/>
  <c r="K141" i="1" s="1"/>
  <c r="F142" i="1"/>
  <c r="AE141" i="1"/>
  <c r="AF141" i="1" s="1"/>
  <c r="AJ141" i="1" s="1"/>
  <c r="AA142" i="1"/>
  <c r="AG141" i="1" s="1"/>
  <c r="AB142" i="1"/>
  <c r="X137" i="1"/>
  <c r="V137" i="1" s="1"/>
  <c r="S139" i="1"/>
  <c r="AN139" i="1"/>
  <c r="AT137" i="1"/>
  <c r="AR137" i="1" s="1"/>
  <c r="AC141" i="1"/>
  <c r="AD141" i="1"/>
  <c r="T138" i="1"/>
  <c r="W138" i="1" s="1"/>
  <c r="Z143" i="1"/>
  <c r="U138" i="1"/>
  <c r="L141" i="1"/>
  <c r="N141" i="1"/>
  <c r="M141" i="1"/>
  <c r="R139" i="1"/>
  <c r="A149" i="1"/>
  <c r="C148" i="1"/>
  <c r="B148" i="1"/>
  <c r="G141" i="1"/>
  <c r="H141" i="1"/>
  <c r="AP138" i="1" l="1"/>
  <c r="AS138" i="1" s="1"/>
  <c r="AK140" i="1"/>
  <c r="AQ138" i="1"/>
  <c r="AT138" i="1" s="1"/>
  <c r="AR138" i="1" s="1"/>
  <c r="AM140" i="1"/>
  <c r="AN140" i="1" s="1"/>
  <c r="AL140" i="1"/>
  <c r="Q141" i="1"/>
  <c r="Q140" i="1"/>
  <c r="D144" i="1"/>
  <c r="E143" i="1"/>
  <c r="K142" i="1" s="1"/>
  <c r="F143" i="1"/>
  <c r="AH141" i="1"/>
  <c r="AI141" i="1"/>
  <c r="O140" i="1"/>
  <c r="P140" i="1"/>
  <c r="AE142" i="1"/>
  <c r="AF142" i="1" s="1"/>
  <c r="AJ142" i="1" s="1"/>
  <c r="AA143" i="1"/>
  <c r="AG142" i="1" s="1"/>
  <c r="AB143" i="1"/>
  <c r="AP139" i="1"/>
  <c r="AS139" i="1" s="1"/>
  <c r="AQ139" i="1"/>
  <c r="X138" i="1"/>
  <c r="V138" i="1" s="1"/>
  <c r="AC142" i="1"/>
  <c r="AD142" i="1"/>
  <c r="Z144" i="1"/>
  <c r="T139" i="1"/>
  <c r="W139" i="1" s="1"/>
  <c r="U139" i="1"/>
  <c r="L142" i="1"/>
  <c r="N142" i="1"/>
  <c r="M142" i="1"/>
  <c r="O141" i="1"/>
  <c r="P141" i="1"/>
  <c r="G142" i="1"/>
  <c r="H142" i="1"/>
  <c r="A150" i="1"/>
  <c r="C149" i="1"/>
  <c r="B149" i="1"/>
  <c r="AO140" i="1" l="1"/>
  <c r="AP140" i="1" s="1"/>
  <c r="AH142" i="1"/>
  <c r="AI142" i="1"/>
  <c r="Q142" i="1"/>
  <c r="AT139" i="1"/>
  <c r="AR139" i="1" s="1"/>
  <c r="AL141" i="1"/>
  <c r="R140" i="1"/>
  <c r="AM141" i="1"/>
  <c r="AK141" i="1"/>
  <c r="S140" i="1"/>
  <c r="D145" i="1"/>
  <c r="F144" i="1"/>
  <c r="E144" i="1"/>
  <c r="K143" i="1" s="1"/>
  <c r="I143" i="1"/>
  <c r="J143" i="1" s="1"/>
  <c r="AE143" i="1"/>
  <c r="AF143" i="1" s="1"/>
  <c r="AI143" i="1" s="1"/>
  <c r="AB144" i="1"/>
  <c r="AA144" i="1"/>
  <c r="AG143" i="1" s="1"/>
  <c r="AC143" i="1"/>
  <c r="AD143" i="1"/>
  <c r="Z145" i="1"/>
  <c r="X139" i="1"/>
  <c r="V139" i="1" s="1"/>
  <c r="R141" i="1"/>
  <c r="S141" i="1"/>
  <c r="O142" i="1"/>
  <c r="P142" i="1"/>
  <c r="A151" i="1"/>
  <c r="B150" i="1"/>
  <c r="C150" i="1"/>
  <c r="H143" i="1"/>
  <c r="G143" i="1"/>
  <c r="AM142" i="1" l="1"/>
  <c r="AQ140" i="1"/>
  <c r="AL142" i="1"/>
  <c r="AK142" i="1"/>
  <c r="AN141" i="1"/>
  <c r="AO141" i="1"/>
  <c r="AQ141" i="1" s="1"/>
  <c r="AH143" i="1"/>
  <c r="N143" i="1"/>
  <c r="L143" i="1"/>
  <c r="M143" i="1"/>
  <c r="AJ143" i="1"/>
  <c r="D146" i="1"/>
  <c r="I145" i="1" s="1"/>
  <c r="J145" i="1" s="1"/>
  <c r="F145" i="1"/>
  <c r="E145" i="1"/>
  <c r="K144" i="1" s="1"/>
  <c r="I144" i="1"/>
  <c r="J144" i="1" s="1"/>
  <c r="T140" i="1"/>
  <c r="U140" i="1"/>
  <c r="AE144" i="1"/>
  <c r="AF144" i="1" s="1"/>
  <c r="AJ144" i="1" s="1"/>
  <c r="AB145" i="1"/>
  <c r="AA145" i="1"/>
  <c r="AG144" i="1" s="1"/>
  <c r="AT140" i="1"/>
  <c r="AS140" i="1"/>
  <c r="AO142" i="1"/>
  <c r="AN142" i="1"/>
  <c r="AC144" i="1"/>
  <c r="AD144" i="1"/>
  <c r="Z146" i="1"/>
  <c r="T141" i="1"/>
  <c r="W141" i="1" s="1"/>
  <c r="U141" i="1"/>
  <c r="S142" i="1"/>
  <c r="R142" i="1"/>
  <c r="G144" i="1"/>
  <c r="H144" i="1"/>
  <c r="A152" i="1"/>
  <c r="B151" i="1"/>
  <c r="C151" i="1"/>
  <c r="AP141" i="1" l="1"/>
  <c r="AS141" i="1" s="1"/>
  <c r="AK143" i="1"/>
  <c r="AR140" i="1"/>
  <c r="AM143" i="1"/>
  <c r="Q143" i="1"/>
  <c r="AL143" i="1"/>
  <c r="AO143" i="1" s="1"/>
  <c r="AI144" i="1"/>
  <c r="AH144" i="1"/>
  <c r="D147" i="1"/>
  <c r="I146" i="1" s="1"/>
  <c r="J146" i="1" s="1"/>
  <c r="F146" i="1"/>
  <c r="E146" i="1"/>
  <c r="K145" i="1" s="1"/>
  <c r="M144" i="1"/>
  <c r="L144" i="1"/>
  <c r="N144" i="1"/>
  <c r="O143" i="1"/>
  <c r="P143" i="1"/>
  <c r="W140" i="1"/>
  <c r="X140" i="1"/>
  <c r="AE145" i="1"/>
  <c r="AF145" i="1" s="1"/>
  <c r="AH145" i="1" s="1"/>
  <c r="AB146" i="1"/>
  <c r="AA146" i="1"/>
  <c r="AG145" i="1" s="1"/>
  <c r="Z147" i="1"/>
  <c r="AP142" i="1"/>
  <c r="AS142" i="1" s="1"/>
  <c r="AQ142" i="1"/>
  <c r="AT141" i="1"/>
  <c r="AR141" i="1" s="1"/>
  <c r="AC145" i="1"/>
  <c r="AD145" i="1"/>
  <c r="AN143" i="1"/>
  <c r="X141" i="1"/>
  <c r="V141" i="1" s="1"/>
  <c r="T142" i="1"/>
  <c r="W142" i="1" s="1"/>
  <c r="U142" i="1"/>
  <c r="L145" i="1"/>
  <c r="N145" i="1"/>
  <c r="M145" i="1"/>
  <c r="A153" i="1"/>
  <c r="C152" i="1"/>
  <c r="B152" i="1"/>
  <c r="G145" i="1"/>
  <c r="H145" i="1"/>
  <c r="AK144" i="1" l="1"/>
  <c r="V140" i="1"/>
  <c r="Q145" i="1"/>
  <c r="Q144" i="1"/>
  <c r="AM144" i="1"/>
  <c r="AL144" i="1"/>
  <c r="R143" i="1"/>
  <c r="AI145" i="1"/>
  <c r="AJ145" i="1"/>
  <c r="P144" i="1"/>
  <c r="O144" i="1"/>
  <c r="S143" i="1"/>
  <c r="D148" i="1"/>
  <c r="E147" i="1"/>
  <c r="K146" i="1" s="1"/>
  <c r="F147" i="1"/>
  <c r="AE146" i="1"/>
  <c r="AF146" i="1" s="1"/>
  <c r="AI146" i="1" s="1"/>
  <c r="AA147" i="1"/>
  <c r="AG146" i="1" s="1"/>
  <c r="AB147" i="1"/>
  <c r="AT142" i="1"/>
  <c r="AR142" i="1" s="1"/>
  <c r="AQ143" i="1"/>
  <c r="AP143" i="1"/>
  <c r="AC146" i="1"/>
  <c r="AD146" i="1"/>
  <c r="Z148" i="1"/>
  <c r="X142" i="1"/>
  <c r="V142" i="1" s="1"/>
  <c r="L146" i="1"/>
  <c r="N146" i="1"/>
  <c r="M146" i="1"/>
  <c r="P145" i="1"/>
  <c r="O145" i="1"/>
  <c r="G146" i="1"/>
  <c r="H146" i="1"/>
  <c r="A154" i="1"/>
  <c r="C153" i="1"/>
  <c r="B153" i="1"/>
  <c r="AL145" i="1" l="1"/>
  <c r="AO144" i="1"/>
  <c r="S144" i="1"/>
  <c r="AN144" i="1"/>
  <c r="AP144" i="1" s="1"/>
  <c r="AS144" i="1" s="1"/>
  <c r="R144" i="1"/>
  <c r="T144" i="1" s="1"/>
  <c r="W144" i="1" s="1"/>
  <c r="Q146" i="1"/>
  <c r="AK145" i="1"/>
  <c r="U143" i="1"/>
  <c r="AH146" i="1"/>
  <c r="AJ146" i="1"/>
  <c r="AM145" i="1"/>
  <c r="AO145" i="1" s="1"/>
  <c r="D149" i="1"/>
  <c r="F148" i="1"/>
  <c r="E148" i="1"/>
  <c r="K147" i="1" s="1"/>
  <c r="I147" i="1"/>
  <c r="J147" i="1" s="1"/>
  <c r="T143" i="1"/>
  <c r="AE147" i="1"/>
  <c r="AF147" i="1" s="1"/>
  <c r="AJ147" i="1" s="1"/>
  <c r="AA148" i="1"/>
  <c r="AG147" i="1" s="1"/>
  <c r="AB148" i="1"/>
  <c r="AT143" i="1"/>
  <c r="AS143" i="1"/>
  <c r="S145" i="1"/>
  <c r="AK146" i="1"/>
  <c r="AC147" i="1"/>
  <c r="AD147" i="1"/>
  <c r="Z149" i="1"/>
  <c r="O146" i="1"/>
  <c r="P146" i="1"/>
  <c r="R145" i="1"/>
  <c r="A155" i="1"/>
  <c r="B154" i="1"/>
  <c r="C154" i="1"/>
  <c r="G147" i="1"/>
  <c r="H147" i="1"/>
  <c r="AM146" i="1" l="1"/>
  <c r="AR143" i="1"/>
  <c r="AQ144" i="1"/>
  <c r="U144" i="1"/>
  <c r="AL146" i="1"/>
  <c r="AO146" i="1" s="1"/>
  <c r="AN145" i="1"/>
  <c r="AP145" i="1" s="1"/>
  <c r="AS145" i="1" s="1"/>
  <c r="X144" i="1"/>
  <c r="V144" i="1" s="1"/>
  <c r="W143" i="1"/>
  <c r="X143" i="1"/>
  <c r="L147" i="1"/>
  <c r="M147" i="1"/>
  <c r="N147" i="1"/>
  <c r="D150" i="1"/>
  <c r="I149" i="1" s="1"/>
  <c r="J149" i="1" s="1"/>
  <c r="F149" i="1"/>
  <c r="E149" i="1"/>
  <c r="K148" i="1" s="1"/>
  <c r="I148" i="1"/>
  <c r="J148" i="1" s="1"/>
  <c r="AI147" i="1"/>
  <c r="AH147" i="1"/>
  <c r="AE148" i="1"/>
  <c r="AF148" i="1" s="1"/>
  <c r="AH148" i="1" s="1"/>
  <c r="AA149" i="1"/>
  <c r="AG148" i="1" s="1"/>
  <c r="AB149" i="1"/>
  <c r="AT144" i="1"/>
  <c r="AR144" i="1" s="1"/>
  <c r="AN146" i="1"/>
  <c r="AQ145" i="1"/>
  <c r="AC148" i="1"/>
  <c r="AD148" i="1"/>
  <c r="Z150" i="1"/>
  <c r="S146" i="1"/>
  <c r="T145" i="1"/>
  <c r="W145" i="1" s="1"/>
  <c r="U145" i="1"/>
  <c r="R146" i="1"/>
  <c r="A156" i="1"/>
  <c r="B155" i="1"/>
  <c r="C155" i="1"/>
  <c r="G148" i="1"/>
  <c r="H148" i="1"/>
  <c r="AK147" i="1" l="1"/>
  <c r="V143" i="1"/>
  <c r="Q147" i="1"/>
  <c r="AL147" i="1"/>
  <c r="AM147" i="1"/>
  <c r="F150" i="1"/>
  <c r="E150" i="1"/>
  <c r="K149" i="1" s="1"/>
  <c r="D151" i="1"/>
  <c r="I150" i="1" s="1"/>
  <c r="J150" i="1" s="1"/>
  <c r="O147" i="1"/>
  <c r="P147" i="1"/>
  <c r="N148" i="1"/>
  <c r="M148" i="1"/>
  <c r="L148" i="1"/>
  <c r="AJ148" i="1"/>
  <c r="AI148" i="1"/>
  <c r="AE149" i="1"/>
  <c r="AF149" i="1" s="1"/>
  <c r="AH149" i="1" s="1"/>
  <c r="AA150" i="1"/>
  <c r="AG149" i="1" s="1"/>
  <c r="AB150" i="1"/>
  <c r="AP146" i="1"/>
  <c r="AS146" i="1" s="1"/>
  <c r="AQ146" i="1"/>
  <c r="AC149" i="1"/>
  <c r="AD149" i="1"/>
  <c r="Z151" i="1"/>
  <c r="AT145" i="1"/>
  <c r="AR145" i="1" s="1"/>
  <c r="T146" i="1"/>
  <c r="W146" i="1" s="1"/>
  <c r="U146" i="1"/>
  <c r="X145" i="1"/>
  <c r="V145" i="1" s="1"/>
  <c r="L149" i="1"/>
  <c r="M149" i="1"/>
  <c r="N149" i="1"/>
  <c r="A157" i="1"/>
  <c r="C156" i="1"/>
  <c r="B156" i="1"/>
  <c r="G149" i="1"/>
  <c r="H149" i="1"/>
  <c r="Q148" i="1" l="1"/>
  <c r="AO147" i="1"/>
  <c r="AK148" i="1"/>
  <c r="S147" i="1"/>
  <c r="Q149" i="1"/>
  <c r="AN147" i="1"/>
  <c r="AQ147" i="1" s="1"/>
  <c r="AM148" i="1"/>
  <c r="AN148" i="1" s="1"/>
  <c r="AL148" i="1"/>
  <c r="F151" i="1"/>
  <c r="E151" i="1"/>
  <c r="K150" i="1" s="1"/>
  <c r="D152" i="1"/>
  <c r="R147" i="1"/>
  <c r="AJ149" i="1"/>
  <c r="O148" i="1"/>
  <c r="P148" i="1"/>
  <c r="AI149" i="1"/>
  <c r="AE150" i="1"/>
  <c r="AF150" i="1" s="1"/>
  <c r="AJ150" i="1" s="1"/>
  <c r="AA151" i="1"/>
  <c r="AG150" i="1" s="1"/>
  <c r="AB151" i="1"/>
  <c r="AT146" i="1"/>
  <c r="AR146" i="1" s="1"/>
  <c r="AC150" i="1"/>
  <c r="AD150" i="1"/>
  <c r="AP147" i="1"/>
  <c r="Z152" i="1"/>
  <c r="X146" i="1"/>
  <c r="V146" i="1" s="1"/>
  <c r="L150" i="1"/>
  <c r="M150" i="1"/>
  <c r="N150" i="1"/>
  <c r="O149" i="1"/>
  <c r="P149" i="1"/>
  <c r="G150" i="1"/>
  <c r="H150" i="1"/>
  <c r="A158" i="1"/>
  <c r="C157" i="1"/>
  <c r="B157" i="1"/>
  <c r="Q150" i="1" l="1"/>
  <c r="S148" i="1"/>
  <c r="AO148" i="1"/>
  <c r="AI150" i="1"/>
  <c r="AH150" i="1"/>
  <c r="AL150" i="1" s="1"/>
  <c r="R148" i="1"/>
  <c r="T147" i="1"/>
  <c r="U147" i="1"/>
  <c r="D153" i="1"/>
  <c r="F152" i="1"/>
  <c r="E152" i="1"/>
  <c r="K151" i="1" s="1"/>
  <c r="I151" i="1"/>
  <c r="J151" i="1" s="1"/>
  <c r="AL149" i="1"/>
  <c r="AK149" i="1"/>
  <c r="AM149" i="1"/>
  <c r="AE151" i="1"/>
  <c r="AF151" i="1" s="1"/>
  <c r="AI151" i="1" s="1"/>
  <c r="AB152" i="1"/>
  <c r="AA152" i="1"/>
  <c r="AG151" i="1" s="1"/>
  <c r="AT147" i="1"/>
  <c r="AS147" i="1"/>
  <c r="AP148" i="1"/>
  <c r="AS148" i="1" s="1"/>
  <c r="AQ148" i="1"/>
  <c r="R149" i="1"/>
  <c r="Z153" i="1"/>
  <c r="AC151" i="1"/>
  <c r="AD151" i="1"/>
  <c r="S149" i="1"/>
  <c r="O150" i="1"/>
  <c r="P150" i="1"/>
  <c r="A159" i="1"/>
  <c r="B158" i="1"/>
  <c r="C158" i="1"/>
  <c r="G151" i="1"/>
  <c r="H151" i="1"/>
  <c r="AR147" i="1" l="1"/>
  <c r="AK150" i="1"/>
  <c r="AN149" i="1"/>
  <c r="AM150" i="1"/>
  <c r="AO149" i="1"/>
  <c r="AQ149" i="1" s="1"/>
  <c r="AJ151" i="1"/>
  <c r="AH151" i="1"/>
  <c r="M151" i="1"/>
  <c r="N151" i="1"/>
  <c r="L151" i="1"/>
  <c r="F153" i="1"/>
  <c r="D154" i="1"/>
  <c r="I153" i="1" s="1"/>
  <c r="J153" i="1" s="1"/>
  <c r="E153" i="1"/>
  <c r="K152" i="1" s="1"/>
  <c r="I152" i="1"/>
  <c r="J152" i="1" s="1"/>
  <c r="W147" i="1"/>
  <c r="X147" i="1"/>
  <c r="T148" i="1"/>
  <c r="U148" i="1"/>
  <c r="AB153" i="1"/>
  <c r="AA153" i="1"/>
  <c r="AG152" i="1" s="1"/>
  <c r="AT148" i="1"/>
  <c r="AR148" i="1" s="1"/>
  <c r="U149" i="1"/>
  <c r="AO150" i="1"/>
  <c r="T149" i="1"/>
  <c r="W149" i="1" s="1"/>
  <c r="Z154" i="1"/>
  <c r="AC152" i="1"/>
  <c r="AD152" i="1"/>
  <c r="AE152" i="1"/>
  <c r="AF152" i="1" s="1"/>
  <c r="R150" i="1"/>
  <c r="S150" i="1"/>
  <c r="A160" i="1"/>
  <c r="B159" i="1"/>
  <c r="C159" i="1"/>
  <c r="G152" i="1"/>
  <c r="H152" i="1"/>
  <c r="AN150" i="1" l="1"/>
  <c r="AK151" i="1"/>
  <c r="V147" i="1"/>
  <c r="AM151" i="1"/>
  <c r="AL151" i="1"/>
  <c r="AO151" i="1" s="1"/>
  <c r="Q151" i="1"/>
  <c r="AP149" i="1"/>
  <c r="AS149" i="1" s="1"/>
  <c r="L152" i="1"/>
  <c r="M152" i="1"/>
  <c r="N152" i="1"/>
  <c r="F154" i="1"/>
  <c r="E154" i="1"/>
  <c r="K153" i="1" s="1"/>
  <c r="D155" i="1"/>
  <c r="I154" i="1" s="1"/>
  <c r="J154" i="1" s="1"/>
  <c r="O151" i="1"/>
  <c r="P151" i="1"/>
  <c r="W148" i="1"/>
  <c r="X148" i="1"/>
  <c r="AE153" i="1"/>
  <c r="AF153" i="1" s="1"/>
  <c r="AJ153" i="1" s="1"/>
  <c r="AB154" i="1"/>
  <c r="AA154" i="1"/>
  <c r="AG153" i="1" s="1"/>
  <c r="X149" i="1"/>
  <c r="V149" i="1" s="1"/>
  <c r="AP150" i="1"/>
  <c r="AS150" i="1" s="1"/>
  <c r="AQ150" i="1"/>
  <c r="AC153" i="1"/>
  <c r="AD153" i="1"/>
  <c r="AN151" i="1"/>
  <c r="AH152" i="1"/>
  <c r="AI152" i="1"/>
  <c r="AJ152" i="1"/>
  <c r="Z155" i="1"/>
  <c r="U150" i="1"/>
  <c r="T150" i="1"/>
  <c r="L153" i="1"/>
  <c r="M153" i="1"/>
  <c r="N153" i="1"/>
  <c r="A161" i="1"/>
  <c r="C160" i="1"/>
  <c r="B160" i="1"/>
  <c r="G153" i="1"/>
  <c r="H153" i="1"/>
  <c r="AT149" i="1" l="1"/>
  <c r="AR149" i="1" s="1"/>
  <c r="V148" i="1"/>
  <c r="Q152" i="1"/>
  <c r="Q153" i="1"/>
  <c r="R151" i="1"/>
  <c r="AH153" i="1"/>
  <c r="AI153" i="1"/>
  <c r="F155" i="1"/>
  <c r="D156" i="1"/>
  <c r="I155" i="1" s="1"/>
  <c r="J155" i="1" s="1"/>
  <c r="E155" i="1"/>
  <c r="K154" i="1" s="1"/>
  <c r="S151" i="1"/>
  <c r="P152" i="1"/>
  <c r="O152" i="1"/>
  <c r="AE154" i="1"/>
  <c r="AF154" i="1" s="1"/>
  <c r="AJ154" i="1" s="1"/>
  <c r="AA155" i="1"/>
  <c r="AG154" i="1" s="1"/>
  <c r="AB155" i="1"/>
  <c r="X150" i="1"/>
  <c r="W150" i="1"/>
  <c r="AT150" i="1"/>
  <c r="AR150" i="1" s="1"/>
  <c r="AK152" i="1"/>
  <c r="AL152" i="1"/>
  <c r="AM152" i="1"/>
  <c r="Z156" i="1"/>
  <c r="AC154" i="1"/>
  <c r="AD154" i="1"/>
  <c r="AQ151" i="1"/>
  <c r="AP151" i="1"/>
  <c r="AS151" i="1" s="1"/>
  <c r="L154" i="1"/>
  <c r="M154" i="1"/>
  <c r="N154" i="1"/>
  <c r="P153" i="1"/>
  <c r="O153" i="1"/>
  <c r="A162" i="1"/>
  <c r="C161" i="1"/>
  <c r="B161" i="1"/>
  <c r="G154" i="1"/>
  <c r="H154" i="1"/>
  <c r="AK153" i="1" l="1"/>
  <c r="AN153" i="1" s="1"/>
  <c r="AM153" i="1"/>
  <c r="AL153" i="1"/>
  <c r="AO153" i="1" s="1"/>
  <c r="V150" i="1"/>
  <c r="Q154" i="1"/>
  <c r="AI154" i="1"/>
  <c r="T151" i="1"/>
  <c r="W151" i="1" s="1"/>
  <c r="AH154" i="1"/>
  <c r="AL154" i="1" s="1"/>
  <c r="S152" i="1"/>
  <c r="U151" i="1"/>
  <c r="D157" i="1"/>
  <c r="I156" i="1" s="1"/>
  <c r="J156" i="1" s="1"/>
  <c r="F156" i="1"/>
  <c r="E156" i="1"/>
  <c r="K155" i="1" s="1"/>
  <c r="R152" i="1"/>
  <c r="AE155" i="1"/>
  <c r="AF155" i="1" s="1"/>
  <c r="AJ155" i="1" s="1"/>
  <c r="AA156" i="1"/>
  <c r="AG155" i="1" s="1"/>
  <c r="AB156" i="1"/>
  <c r="AO152" i="1"/>
  <c r="AT151" i="1"/>
  <c r="AR151" i="1" s="1"/>
  <c r="AC155" i="1"/>
  <c r="AD155" i="1"/>
  <c r="AN152" i="1"/>
  <c r="Z157" i="1"/>
  <c r="R153" i="1"/>
  <c r="S153" i="1"/>
  <c r="L155" i="1"/>
  <c r="N155" i="1"/>
  <c r="M155" i="1"/>
  <c r="O154" i="1"/>
  <c r="P154" i="1"/>
  <c r="A163" i="1"/>
  <c r="B162" i="1"/>
  <c r="C162" i="1"/>
  <c r="G155" i="1"/>
  <c r="H155" i="1"/>
  <c r="X151" i="1" l="1"/>
  <c r="V151" i="1" s="1"/>
  <c r="AM154" i="1"/>
  <c r="AK154" i="1"/>
  <c r="Q155" i="1"/>
  <c r="T152" i="1"/>
  <c r="W152" i="1" s="1"/>
  <c r="U152" i="1"/>
  <c r="D158" i="1"/>
  <c r="I157" i="1" s="1"/>
  <c r="J157" i="1" s="1"/>
  <c r="E157" i="1"/>
  <c r="K156" i="1" s="1"/>
  <c r="F157" i="1"/>
  <c r="AH155" i="1"/>
  <c r="AI155" i="1"/>
  <c r="AE156" i="1"/>
  <c r="AF156" i="1" s="1"/>
  <c r="AI156" i="1" s="1"/>
  <c r="AA157" i="1"/>
  <c r="AG156" i="1" s="1"/>
  <c r="AB157" i="1"/>
  <c r="AQ153" i="1"/>
  <c r="AN154" i="1"/>
  <c r="AP153" i="1"/>
  <c r="AS153" i="1" s="1"/>
  <c r="AO154" i="1"/>
  <c r="AQ152" i="1"/>
  <c r="AP152" i="1"/>
  <c r="AS152" i="1" s="1"/>
  <c r="AC156" i="1"/>
  <c r="AD156" i="1"/>
  <c r="T153" i="1"/>
  <c r="W153" i="1" s="1"/>
  <c r="Z158" i="1"/>
  <c r="U153" i="1"/>
  <c r="S154" i="1"/>
  <c r="L156" i="1"/>
  <c r="M156" i="1"/>
  <c r="N156" i="1"/>
  <c r="R154" i="1"/>
  <c r="O155" i="1"/>
  <c r="P155" i="1"/>
  <c r="A164" i="1"/>
  <c r="B163" i="1"/>
  <c r="C163" i="1"/>
  <c r="G156" i="1"/>
  <c r="H156" i="1"/>
  <c r="Q156" i="1" l="1"/>
  <c r="AK155" i="1"/>
  <c r="AM155" i="1"/>
  <c r="E158" i="1"/>
  <c r="K157" i="1" s="1"/>
  <c r="F158" i="1"/>
  <c r="D159" i="1"/>
  <c r="I158" i="1" s="1"/>
  <c r="J158" i="1" s="1"/>
  <c r="X152" i="1"/>
  <c r="V152" i="1" s="1"/>
  <c r="AL155" i="1"/>
  <c r="AH156" i="1"/>
  <c r="AJ156" i="1"/>
  <c r="AE157" i="1"/>
  <c r="AF157" i="1" s="1"/>
  <c r="AI157" i="1" s="1"/>
  <c r="AA158" i="1"/>
  <c r="AG157" i="1" s="1"/>
  <c r="AB158" i="1"/>
  <c r="AQ154" i="1"/>
  <c r="AT153" i="1"/>
  <c r="AR153" i="1" s="1"/>
  <c r="AP154" i="1"/>
  <c r="AT152" i="1"/>
  <c r="AR152" i="1" s="1"/>
  <c r="Z159" i="1"/>
  <c r="X153" i="1"/>
  <c r="V153" i="1" s="1"/>
  <c r="AC157" i="1"/>
  <c r="AD157" i="1"/>
  <c r="AN155" i="1"/>
  <c r="S155" i="1"/>
  <c r="T154" i="1"/>
  <c r="W154" i="1" s="1"/>
  <c r="U154" i="1"/>
  <c r="R155" i="1"/>
  <c r="L157" i="1"/>
  <c r="M157" i="1"/>
  <c r="N157" i="1"/>
  <c r="O156" i="1"/>
  <c r="P156" i="1"/>
  <c r="G157" i="1"/>
  <c r="H157" i="1"/>
  <c r="A165" i="1"/>
  <c r="C164" i="1"/>
  <c r="B164" i="1"/>
  <c r="AO155" i="1" l="1"/>
  <c r="Q157" i="1"/>
  <c r="L158" i="1"/>
  <c r="N158" i="1"/>
  <c r="M158" i="1"/>
  <c r="AJ157" i="1"/>
  <c r="AH157" i="1"/>
  <c r="AK156" i="1"/>
  <c r="AM156" i="1"/>
  <c r="F159" i="1"/>
  <c r="E159" i="1"/>
  <c r="K158" i="1" s="1"/>
  <c r="D160" i="1"/>
  <c r="AL156" i="1"/>
  <c r="AE158" i="1"/>
  <c r="AF158" i="1" s="1"/>
  <c r="AI158" i="1" s="1"/>
  <c r="AA159" i="1"/>
  <c r="AG158" i="1" s="1"/>
  <c r="AB159" i="1"/>
  <c r="AT154" i="1"/>
  <c r="AS154" i="1"/>
  <c r="AQ155" i="1"/>
  <c r="AP155" i="1"/>
  <c r="AC158" i="1"/>
  <c r="AD158" i="1"/>
  <c r="S156" i="1"/>
  <c r="Z160" i="1"/>
  <c r="R156" i="1"/>
  <c r="T155" i="1"/>
  <c r="W155" i="1" s="1"/>
  <c r="U155" i="1"/>
  <c r="X154" i="1"/>
  <c r="V154" i="1" s="1"/>
  <c r="O157" i="1"/>
  <c r="P157" i="1"/>
  <c r="A166" i="1"/>
  <c r="C165" i="1"/>
  <c r="B165" i="1"/>
  <c r="G158" i="1"/>
  <c r="H158" i="1"/>
  <c r="O158" i="1" l="1"/>
  <c r="AR154" i="1"/>
  <c r="P158" i="1"/>
  <c r="AM157" i="1"/>
  <c r="Q158" i="1"/>
  <c r="R158" i="1" s="1"/>
  <c r="AN156" i="1"/>
  <c r="AL157" i="1"/>
  <c r="AO156" i="1"/>
  <c r="AK157" i="1"/>
  <c r="AJ158" i="1"/>
  <c r="AH158" i="1"/>
  <c r="E160" i="1"/>
  <c r="K159" i="1" s="1"/>
  <c r="F160" i="1"/>
  <c r="D161" i="1"/>
  <c r="I160" i="1" s="1"/>
  <c r="J160" i="1" s="1"/>
  <c r="I159" i="1"/>
  <c r="J159" i="1" s="1"/>
  <c r="AE159" i="1"/>
  <c r="AF159" i="1" s="1"/>
  <c r="AJ159" i="1" s="1"/>
  <c r="AB160" i="1"/>
  <c r="AA160" i="1"/>
  <c r="AG159" i="1" s="1"/>
  <c r="AT155" i="1"/>
  <c r="AS155" i="1"/>
  <c r="AC159" i="1"/>
  <c r="AD159" i="1"/>
  <c r="Z161" i="1"/>
  <c r="S158" i="1"/>
  <c r="X155" i="1"/>
  <c r="V155" i="1" s="1"/>
  <c r="R157" i="1"/>
  <c r="T156" i="1"/>
  <c r="W156" i="1" s="1"/>
  <c r="U156" i="1"/>
  <c r="S157" i="1"/>
  <c r="A167" i="1"/>
  <c r="B166" i="1"/>
  <c r="C166" i="1"/>
  <c r="H159" i="1"/>
  <c r="G159" i="1"/>
  <c r="AP156" i="1" l="1"/>
  <c r="AS156" i="1" s="1"/>
  <c r="AR155" i="1"/>
  <c r="AO157" i="1"/>
  <c r="AN157" i="1"/>
  <c r="AP157" i="1" s="1"/>
  <c r="AS157" i="1" s="1"/>
  <c r="AK158" i="1"/>
  <c r="AQ156" i="1"/>
  <c r="AT156" i="1" s="1"/>
  <c r="AR156" i="1" s="1"/>
  <c r="AL158" i="1"/>
  <c r="AM158" i="1"/>
  <c r="AO158" i="1" s="1"/>
  <c r="AI159" i="1"/>
  <c r="L159" i="1"/>
  <c r="N159" i="1"/>
  <c r="M159" i="1"/>
  <c r="D162" i="1"/>
  <c r="I161" i="1" s="1"/>
  <c r="J161" i="1" s="1"/>
  <c r="F161" i="1"/>
  <c r="E161" i="1"/>
  <c r="K160" i="1" s="1"/>
  <c r="AH159" i="1"/>
  <c r="AE160" i="1"/>
  <c r="AF160" i="1" s="1"/>
  <c r="AH160" i="1" s="1"/>
  <c r="AB161" i="1"/>
  <c r="AA161" i="1"/>
  <c r="AG160" i="1" s="1"/>
  <c r="AQ157" i="1"/>
  <c r="AC160" i="1"/>
  <c r="AD160" i="1"/>
  <c r="T157" i="1"/>
  <c r="W157" i="1" s="1"/>
  <c r="Z162" i="1"/>
  <c r="T158" i="1"/>
  <c r="W158" i="1" s="1"/>
  <c r="U158" i="1"/>
  <c r="X156" i="1"/>
  <c r="V156" i="1" s="1"/>
  <c r="U157" i="1"/>
  <c r="L160" i="1"/>
  <c r="M160" i="1"/>
  <c r="N160" i="1"/>
  <c r="A168" i="1"/>
  <c r="B167" i="1"/>
  <c r="C167" i="1"/>
  <c r="G160" i="1"/>
  <c r="H160" i="1"/>
  <c r="AN158" i="1" l="1"/>
  <c r="Q159" i="1"/>
  <c r="Q160" i="1"/>
  <c r="AM159" i="1"/>
  <c r="AI160" i="1"/>
  <c r="AL159" i="1"/>
  <c r="D163" i="1"/>
  <c r="F162" i="1"/>
  <c r="E162" i="1"/>
  <c r="K161" i="1" s="1"/>
  <c r="AK159" i="1"/>
  <c r="AJ160" i="1"/>
  <c r="O159" i="1"/>
  <c r="P159" i="1"/>
  <c r="AB162" i="1"/>
  <c r="AA162" i="1"/>
  <c r="AG161" i="1" s="1"/>
  <c r="AT157" i="1"/>
  <c r="AR157" i="1" s="1"/>
  <c r="X157" i="1"/>
  <c r="V157" i="1" s="1"/>
  <c r="Z163" i="1"/>
  <c r="AC161" i="1"/>
  <c r="AD161" i="1"/>
  <c r="AP158" i="1"/>
  <c r="AS158" i="1" s="1"/>
  <c r="AQ158" i="1"/>
  <c r="AE161" i="1"/>
  <c r="AF161" i="1" s="1"/>
  <c r="X158" i="1"/>
  <c r="V158" i="1" s="1"/>
  <c r="L161" i="1"/>
  <c r="M161" i="1"/>
  <c r="N161" i="1"/>
  <c r="P160" i="1"/>
  <c r="O160" i="1"/>
  <c r="G161" i="1"/>
  <c r="H161" i="1"/>
  <c r="A169" i="1"/>
  <c r="C168" i="1"/>
  <c r="B168" i="1"/>
  <c r="AO159" i="1" l="1"/>
  <c r="AK160" i="1"/>
  <c r="Q161" i="1"/>
  <c r="AN159" i="1"/>
  <c r="AQ159" i="1" s="1"/>
  <c r="S159" i="1"/>
  <c r="R159" i="1"/>
  <c r="T159" i="1" s="1"/>
  <c r="W159" i="1" s="1"/>
  <c r="AL160" i="1"/>
  <c r="AM160" i="1"/>
  <c r="F163" i="1"/>
  <c r="D164" i="1"/>
  <c r="I163" i="1" s="1"/>
  <c r="J163" i="1" s="1"/>
  <c r="E163" i="1"/>
  <c r="K162" i="1" s="1"/>
  <c r="I162" i="1"/>
  <c r="J162" i="1" s="1"/>
  <c r="AA163" i="1"/>
  <c r="AG162" i="1" s="1"/>
  <c r="AB163" i="1"/>
  <c r="AJ161" i="1"/>
  <c r="AI161" i="1"/>
  <c r="AH161" i="1"/>
  <c r="Z164" i="1"/>
  <c r="AC162" i="1"/>
  <c r="AD162" i="1"/>
  <c r="AT158" i="1"/>
  <c r="AR158" i="1" s="1"/>
  <c r="AE162" i="1"/>
  <c r="AF162" i="1" s="1"/>
  <c r="S160" i="1"/>
  <c r="P161" i="1"/>
  <c r="O161" i="1"/>
  <c r="R160" i="1"/>
  <c r="A170" i="1"/>
  <c r="C169" i="1"/>
  <c r="B169" i="1"/>
  <c r="G162" i="1"/>
  <c r="H162" i="1"/>
  <c r="AO160" i="1" l="1"/>
  <c r="AP159" i="1"/>
  <c r="AN160" i="1"/>
  <c r="AP160" i="1" s="1"/>
  <c r="AS160" i="1" s="1"/>
  <c r="U159" i="1"/>
  <c r="X159" i="1" s="1"/>
  <c r="L162" i="1"/>
  <c r="N162" i="1"/>
  <c r="M162" i="1"/>
  <c r="D165" i="1"/>
  <c r="I164" i="1" s="1"/>
  <c r="J164" i="1" s="1"/>
  <c r="E164" i="1"/>
  <c r="K163" i="1" s="1"/>
  <c r="F164" i="1"/>
  <c r="AE163" i="1"/>
  <c r="AF163" i="1" s="1"/>
  <c r="AJ163" i="1" s="1"/>
  <c r="AA164" i="1"/>
  <c r="AG163" i="1" s="1"/>
  <c r="AB164" i="1"/>
  <c r="AT159" i="1"/>
  <c r="AS159" i="1"/>
  <c r="S161" i="1"/>
  <c r="AJ162" i="1"/>
  <c r="AI162" i="1"/>
  <c r="AH162" i="1"/>
  <c r="Z165" i="1"/>
  <c r="R161" i="1"/>
  <c r="AK161" i="1"/>
  <c r="AL161" i="1"/>
  <c r="AM161" i="1"/>
  <c r="AC163" i="1"/>
  <c r="AD163" i="1"/>
  <c r="T160" i="1"/>
  <c r="W160" i="1" s="1"/>
  <c r="U160" i="1"/>
  <c r="L163" i="1"/>
  <c r="N163" i="1"/>
  <c r="M163" i="1"/>
  <c r="G163" i="1"/>
  <c r="H163" i="1"/>
  <c r="A171" i="1"/>
  <c r="B170" i="1"/>
  <c r="C170" i="1"/>
  <c r="AQ160" i="1" l="1"/>
  <c r="AR159" i="1"/>
  <c r="V159" i="1"/>
  <c r="Q163" i="1"/>
  <c r="Q162" i="1"/>
  <c r="AI163" i="1"/>
  <c r="D166" i="1"/>
  <c r="E165" i="1"/>
  <c r="K164" i="1" s="1"/>
  <c r="F165" i="1"/>
  <c r="AH163" i="1"/>
  <c r="P162" i="1"/>
  <c r="O162" i="1"/>
  <c r="AE164" i="1"/>
  <c r="AF164" i="1" s="1"/>
  <c r="AI164" i="1" s="1"/>
  <c r="AA165" i="1"/>
  <c r="AG164" i="1" s="1"/>
  <c r="AB165" i="1"/>
  <c r="T161" i="1"/>
  <c r="W161" i="1" s="1"/>
  <c r="AO161" i="1"/>
  <c r="Z166" i="1"/>
  <c r="U161" i="1"/>
  <c r="AT160" i="1"/>
  <c r="AR160" i="1" s="1"/>
  <c r="AM162" i="1"/>
  <c r="AK162" i="1"/>
  <c r="AL162" i="1"/>
  <c r="AC164" i="1"/>
  <c r="AD164" i="1"/>
  <c r="AN161" i="1"/>
  <c r="X160" i="1"/>
  <c r="V160" i="1" s="1"/>
  <c r="L164" i="1"/>
  <c r="M164" i="1"/>
  <c r="N164" i="1"/>
  <c r="O163" i="1"/>
  <c r="P163" i="1"/>
  <c r="G164" i="1"/>
  <c r="H164" i="1"/>
  <c r="A172" i="1"/>
  <c r="B171" i="1"/>
  <c r="C171" i="1"/>
  <c r="AK163" i="1" l="1"/>
  <c r="Q164" i="1"/>
  <c r="S162" i="1"/>
  <c r="AM163" i="1"/>
  <c r="AL163" i="1"/>
  <c r="R162" i="1"/>
  <c r="AH164" i="1"/>
  <c r="D167" i="1"/>
  <c r="I166" i="1" s="1"/>
  <c r="J166" i="1" s="1"/>
  <c r="E166" i="1"/>
  <c r="K165" i="1" s="1"/>
  <c r="F166" i="1"/>
  <c r="I165" i="1"/>
  <c r="J165" i="1" s="1"/>
  <c r="X161" i="1"/>
  <c r="V161" i="1" s="1"/>
  <c r="AJ164" i="1"/>
  <c r="AE165" i="1"/>
  <c r="AF165" i="1" s="1"/>
  <c r="AJ165" i="1" s="1"/>
  <c r="AA166" i="1"/>
  <c r="AG165" i="1" s="1"/>
  <c r="AB166" i="1"/>
  <c r="AN162" i="1"/>
  <c r="AO162" i="1"/>
  <c r="AC165" i="1"/>
  <c r="AD165" i="1"/>
  <c r="AP161" i="1"/>
  <c r="AS161" i="1" s="1"/>
  <c r="AQ161" i="1"/>
  <c r="Z167" i="1"/>
  <c r="R163" i="1"/>
  <c r="O164" i="1"/>
  <c r="P164" i="1"/>
  <c r="S163" i="1"/>
  <c r="A173" i="1"/>
  <c r="C172" i="1"/>
  <c r="B172" i="1"/>
  <c r="G165" i="1"/>
  <c r="H165" i="1"/>
  <c r="AN163" i="1" l="1"/>
  <c r="AO163" i="1"/>
  <c r="AK164" i="1"/>
  <c r="M165" i="1"/>
  <c r="N165" i="1"/>
  <c r="L165" i="1"/>
  <c r="AM164" i="1"/>
  <c r="D168" i="1"/>
  <c r="F167" i="1"/>
  <c r="E167" i="1"/>
  <c r="K166" i="1" s="1"/>
  <c r="AL164" i="1"/>
  <c r="T162" i="1"/>
  <c r="U162" i="1"/>
  <c r="AH165" i="1"/>
  <c r="AI165" i="1"/>
  <c r="AP162" i="1"/>
  <c r="AS162" i="1" s="1"/>
  <c r="AE166" i="1"/>
  <c r="AF166" i="1" s="1"/>
  <c r="AI166" i="1" s="1"/>
  <c r="AA167" i="1"/>
  <c r="AG166" i="1" s="1"/>
  <c r="AB167" i="1"/>
  <c r="AQ162" i="1"/>
  <c r="T163" i="1"/>
  <c r="W163" i="1" s="1"/>
  <c r="S164" i="1"/>
  <c r="Z168" i="1"/>
  <c r="AT161" i="1"/>
  <c r="AR161" i="1" s="1"/>
  <c r="AC166" i="1"/>
  <c r="AD166" i="1"/>
  <c r="U163" i="1"/>
  <c r="L166" i="1"/>
  <c r="M166" i="1"/>
  <c r="N166" i="1"/>
  <c r="R164" i="1"/>
  <c r="G166" i="1"/>
  <c r="H166" i="1"/>
  <c r="A174" i="1"/>
  <c r="B173" i="1"/>
  <c r="C173" i="1"/>
  <c r="AQ163" i="1" l="1"/>
  <c r="AN164" i="1"/>
  <c r="AP163" i="1"/>
  <c r="AS163" i="1" s="1"/>
  <c r="Q165" i="1"/>
  <c r="AM165" i="1"/>
  <c r="Q166" i="1"/>
  <c r="AK165" i="1"/>
  <c r="AL165" i="1"/>
  <c r="AT162" i="1"/>
  <c r="AR162" i="1" s="1"/>
  <c r="AO164" i="1"/>
  <c r="AQ164" i="1" s="1"/>
  <c r="F168" i="1"/>
  <c r="D169" i="1"/>
  <c r="I168" i="1" s="1"/>
  <c r="J168" i="1" s="1"/>
  <c r="E168" i="1"/>
  <c r="K167" i="1" s="1"/>
  <c r="P165" i="1"/>
  <c r="O165" i="1"/>
  <c r="I167" i="1"/>
  <c r="J167" i="1" s="1"/>
  <c r="N167" i="1" s="1"/>
  <c r="AJ166" i="1"/>
  <c r="AH166" i="1"/>
  <c r="W162" i="1"/>
  <c r="X162" i="1"/>
  <c r="AE167" i="1"/>
  <c r="AF167" i="1" s="1"/>
  <c r="AI167" i="1" s="1"/>
  <c r="AB168" i="1"/>
  <c r="AA168" i="1"/>
  <c r="AG167" i="1" s="1"/>
  <c r="X163" i="1"/>
  <c r="V163" i="1" s="1"/>
  <c r="AT163" i="1"/>
  <c r="AC167" i="1"/>
  <c r="AD167" i="1"/>
  <c r="Z169" i="1"/>
  <c r="T164" i="1"/>
  <c r="W164" i="1" s="1"/>
  <c r="U164" i="1"/>
  <c r="O166" i="1"/>
  <c r="P166" i="1"/>
  <c r="A175" i="1"/>
  <c r="C174" i="1"/>
  <c r="B174" i="1"/>
  <c r="G167" i="1"/>
  <c r="H167" i="1"/>
  <c r="AN165" i="1" l="1"/>
  <c r="AO165" i="1"/>
  <c r="AR163" i="1"/>
  <c r="V162" i="1"/>
  <c r="AP164" i="1"/>
  <c r="M167" i="1"/>
  <c r="L167" i="1"/>
  <c r="O167" i="1" s="1"/>
  <c r="S165" i="1"/>
  <c r="R165" i="1"/>
  <c r="AJ167" i="1"/>
  <c r="AK166" i="1"/>
  <c r="AH167" i="1"/>
  <c r="AM166" i="1"/>
  <c r="AL166" i="1"/>
  <c r="D170" i="1"/>
  <c r="I169" i="1" s="1"/>
  <c r="J169" i="1" s="1"/>
  <c r="F169" i="1"/>
  <c r="E169" i="1"/>
  <c r="K168" i="1" s="1"/>
  <c r="AE168" i="1"/>
  <c r="AF168" i="1" s="1"/>
  <c r="AH168" i="1" s="1"/>
  <c r="AB169" i="1"/>
  <c r="AA169" i="1"/>
  <c r="AG168" i="1" s="1"/>
  <c r="AQ165" i="1"/>
  <c r="AP165" i="1"/>
  <c r="AS165" i="1" s="1"/>
  <c r="AT164" i="1"/>
  <c r="AS164" i="1"/>
  <c r="Z170" i="1"/>
  <c r="AC168" i="1"/>
  <c r="AD168" i="1"/>
  <c r="X164" i="1"/>
  <c r="V164" i="1" s="1"/>
  <c r="R166" i="1"/>
  <c r="S166" i="1"/>
  <c r="L168" i="1"/>
  <c r="M168" i="1"/>
  <c r="N168" i="1"/>
  <c r="G168" i="1"/>
  <c r="H168" i="1"/>
  <c r="A176" i="1"/>
  <c r="B175" i="1"/>
  <c r="C175" i="1"/>
  <c r="Q167" i="1" l="1"/>
  <c r="AR164" i="1"/>
  <c r="P167" i="1"/>
  <c r="U165" i="1"/>
  <c r="AM167" i="1"/>
  <c r="T165" i="1"/>
  <c r="W165" i="1" s="1"/>
  <c r="Q168" i="1"/>
  <c r="AL167" i="1"/>
  <c r="AO167" i="1" s="1"/>
  <c r="AK167" i="1"/>
  <c r="AO166" i="1"/>
  <c r="AN166" i="1"/>
  <c r="AJ168" i="1"/>
  <c r="D171" i="1"/>
  <c r="I170" i="1" s="1"/>
  <c r="J170" i="1" s="1"/>
  <c r="F170" i="1"/>
  <c r="E170" i="1"/>
  <c r="K169" i="1" s="1"/>
  <c r="AI168" i="1"/>
  <c r="AE169" i="1"/>
  <c r="AF169" i="1" s="1"/>
  <c r="AH169" i="1" s="1"/>
  <c r="AB170" i="1"/>
  <c r="AA170" i="1"/>
  <c r="AG169" i="1" s="1"/>
  <c r="AT165" i="1"/>
  <c r="AR165" i="1" s="1"/>
  <c r="AC169" i="1"/>
  <c r="AD169" i="1"/>
  <c r="Z171" i="1"/>
  <c r="AN167" i="1"/>
  <c r="U166" i="1"/>
  <c r="T166" i="1"/>
  <c r="W166" i="1" s="1"/>
  <c r="S167" i="1"/>
  <c r="L169" i="1"/>
  <c r="M169" i="1"/>
  <c r="N169" i="1"/>
  <c r="R167" i="1"/>
  <c r="P168" i="1"/>
  <c r="O168" i="1"/>
  <c r="A177" i="1"/>
  <c r="B176" i="1"/>
  <c r="C176" i="1"/>
  <c r="G169" i="1"/>
  <c r="H169" i="1"/>
  <c r="Q169" i="1" l="1"/>
  <c r="X165" i="1"/>
  <c r="V165" i="1" s="1"/>
  <c r="AP166" i="1"/>
  <c r="AS166" i="1" s="1"/>
  <c r="AQ166" i="1"/>
  <c r="AT166" i="1" s="1"/>
  <c r="AL168" i="1"/>
  <c r="AJ169" i="1"/>
  <c r="AK168" i="1"/>
  <c r="AM168" i="1"/>
  <c r="AI169" i="1"/>
  <c r="F171" i="1"/>
  <c r="D172" i="1"/>
  <c r="E171" i="1"/>
  <c r="K170" i="1" s="1"/>
  <c r="AE170" i="1"/>
  <c r="AF170" i="1" s="1"/>
  <c r="AH170" i="1" s="1"/>
  <c r="AA171" i="1"/>
  <c r="AG170" i="1" s="1"/>
  <c r="AB171" i="1"/>
  <c r="Z172" i="1"/>
  <c r="AQ167" i="1"/>
  <c r="AP167" i="1"/>
  <c r="AS167" i="1" s="1"/>
  <c r="X166" i="1"/>
  <c r="V166" i="1" s="1"/>
  <c r="AC170" i="1"/>
  <c r="AD170" i="1"/>
  <c r="T167" i="1"/>
  <c r="W167" i="1" s="1"/>
  <c r="U167" i="1"/>
  <c r="S168" i="1"/>
  <c r="R168" i="1"/>
  <c r="P169" i="1"/>
  <c r="O169" i="1"/>
  <c r="L170" i="1"/>
  <c r="M170" i="1"/>
  <c r="N170" i="1"/>
  <c r="G170" i="1"/>
  <c r="H170" i="1"/>
  <c r="A178" i="1"/>
  <c r="C177" i="1"/>
  <c r="B177" i="1"/>
  <c r="AN168" i="1" l="1"/>
  <c r="AR166" i="1"/>
  <c r="AO168" i="1"/>
  <c r="AQ168" i="1" s="1"/>
  <c r="Q170" i="1"/>
  <c r="AL169" i="1"/>
  <c r="AK169" i="1"/>
  <c r="AM169" i="1"/>
  <c r="AJ170" i="1"/>
  <c r="AI170" i="1"/>
  <c r="D173" i="1"/>
  <c r="F172" i="1"/>
  <c r="E172" i="1"/>
  <c r="K171" i="1" s="1"/>
  <c r="I171" i="1"/>
  <c r="J171" i="1" s="1"/>
  <c r="AE171" i="1"/>
  <c r="AF171" i="1" s="1"/>
  <c r="AH171" i="1" s="1"/>
  <c r="AA172" i="1"/>
  <c r="AG171" i="1" s="1"/>
  <c r="AB172" i="1"/>
  <c r="R169" i="1"/>
  <c r="AT167" i="1"/>
  <c r="AR167" i="1" s="1"/>
  <c r="AC171" i="1"/>
  <c r="AD171" i="1"/>
  <c r="AP168" i="1"/>
  <c r="AS168" i="1" s="1"/>
  <c r="Z173" i="1"/>
  <c r="T168" i="1"/>
  <c r="W168" i="1" s="1"/>
  <c r="U168" i="1"/>
  <c r="X167" i="1"/>
  <c r="V167" i="1" s="1"/>
  <c r="O170" i="1"/>
  <c r="P170" i="1"/>
  <c r="S169" i="1"/>
  <c r="A179" i="1"/>
  <c r="B178" i="1"/>
  <c r="C178" i="1"/>
  <c r="G171" i="1"/>
  <c r="H171" i="1"/>
  <c r="AN169" i="1" l="1"/>
  <c r="AO169" i="1"/>
  <c r="AK170" i="1"/>
  <c r="AL170" i="1"/>
  <c r="AM170" i="1"/>
  <c r="AI171" i="1"/>
  <c r="N171" i="1"/>
  <c r="M171" i="1"/>
  <c r="L171" i="1"/>
  <c r="AJ171" i="1"/>
  <c r="D174" i="1"/>
  <c r="E173" i="1"/>
  <c r="K172" i="1" s="1"/>
  <c r="F173" i="1"/>
  <c r="I172" i="1"/>
  <c r="J172" i="1" s="1"/>
  <c r="AA173" i="1"/>
  <c r="AG172" i="1" s="1"/>
  <c r="AB173" i="1"/>
  <c r="T169" i="1"/>
  <c r="W169" i="1" s="1"/>
  <c r="X168" i="1"/>
  <c r="V168" i="1" s="1"/>
  <c r="AT168" i="1"/>
  <c r="AR168" i="1" s="1"/>
  <c r="Z174" i="1"/>
  <c r="AC172" i="1"/>
  <c r="AD172" i="1"/>
  <c r="AE172" i="1"/>
  <c r="AF172" i="1" s="1"/>
  <c r="U169" i="1"/>
  <c r="S170" i="1"/>
  <c r="R170" i="1"/>
  <c r="A180" i="1"/>
  <c r="B179" i="1"/>
  <c r="C179" i="1"/>
  <c r="G172" i="1"/>
  <c r="H172" i="1"/>
  <c r="AQ169" i="1" l="1"/>
  <c r="AP169" i="1"/>
  <c r="AS169" i="1" s="1"/>
  <c r="AO170" i="1"/>
  <c r="AN170" i="1"/>
  <c r="AQ170" i="1" s="1"/>
  <c r="Q171" i="1"/>
  <c r="AL171" i="1"/>
  <c r="AM171" i="1"/>
  <c r="AO171" i="1" s="1"/>
  <c r="AK171" i="1"/>
  <c r="AN171" i="1" s="1"/>
  <c r="D175" i="1"/>
  <c r="I174" i="1" s="1"/>
  <c r="J174" i="1" s="1"/>
  <c r="F174" i="1"/>
  <c r="E174" i="1"/>
  <c r="K173" i="1" s="1"/>
  <c r="P171" i="1"/>
  <c r="O171" i="1"/>
  <c r="I173" i="1"/>
  <c r="J173" i="1" s="1"/>
  <c r="N173" i="1" s="1"/>
  <c r="M172" i="1"/>
  <c r="N172" i="1"/>
  <c r="L172" i="1"/>
  <c r="AE173" i="1"/>
  <c r="AF173" i="1" s="1"/>
  <c r="AH173" i="1" s="1"/>
  <c r="AA174" i="1"/>
  <c r="AG173" i="1" s="1"/>
  <c r="AB174" i="1"/>
  <c r="AT169" i="1"/>
  <c r="AR169" i="1" s="1"/>
  <c r="X169" i="1"/>
  <c r="V169" i="1" s="1"/>
  <c r="U170" i="1"/>
  <c r="AC173" i="1"/>
  <c r="AD173" i="1"/>
  <c r="AI172" i="1"/>
  <c r="AH172" i="1"/>
  <c r="AJ172" i="1"/>
  <c r="Z175" i="1"/>
  <c r="T170" i="1"/>
  <c r="A181" i="1"/>
  <c r="B180" i="1"/>
  <c r="C180" i="1"/>
  <c r="G173" i="1"/>
  <c r="H173" i="1"/>
  <c r="AP170" i="1" l="1"/>
  <c r="AS170" i="1" s="1"/>
  <c r="Q172" i="1"/>
  <c r="M173" i="1"/>
  <c r="L173" i="1"/>
  <c r="R171" i="1"/>
  <c r="AJ173" i="1"/>
  <c r="AI173" i="1"/>
  <c r="S171" i="1"/>
  <c r="U171" i="1" s="1"/>
  <c r="O172" i="1"/>
  <c r="P172" i="1"/>
  <c r="D176" i="1"/>
  <c r="I175" i="1" s="1"/>
  <c r="J175" i="1" s="1"/>
  <c r="F175" i="1"/>
  <c r="E175" i="1"/>
  <c r="K174" i="1" s="1"/>
  <c r="AE174" i="1"/>
  <c r="AF174" i="1" s="1"/>
  <c r="AI174" i="1" s="1"/>
  <c r="AA175" i="1"/>
  <c r="AG174" i="1" s="1"/>
  <c r="AB175" i="1"/>
  <c r="AT170" i="1"/>
  <c r="AR170" i="1" s="1"/>
  <c r="X170" i="1"/>
  <c r="W170" i="1"/>
  <c r="AC174" i="1"/>
  <c r="AD174" i="1"/>
  <c r="Z176" i="1"/>
  <c r="AK172" i="1"/>
  <c r="AL172" i="1"/>
  <c r="AM172" i="1"/>
  <c r="AQ171" i="1"/>
  <c r="AP171" i="1"/>
  <c r="AS171" i="1" s="1"/>
  <c r="L174" i="1"/>
  <c r="N174" i="1"/>
  <c r="M174" i="1"/>
  <c r="O173" i="1"/>
  <c r="P173" i="1"/>
  <c r="A182" i="1"/>
  <c r="C181" i="1"/>
  <c r="B181" i="1"/>
  <c r="G174" i="1"/>
  <c r="H174" i="1"/>
  <c r="AM173" i="1" l="1"/>
  <c r="Q173" i="1"/>
  <c r="R173" i="1" s="1"/>
  <c r="AK173" i="1"/>
  <c r="AL173" i="1"/>
  <c r="V170" i="1"/>
  <c r="Q174" i="1"/>
  <c r="S172" i="1"/>
  <c r="R172" i="1"/>
  <c r="AJ174" i="1"/>
  <c r="AH174" i="1"/>
  <c r="D177" i="1"/>
  <c r="I176" i="1" s="1"/>
  <c r="J176" i="1" s="1"/>
  <c r="N176" i="1" s="1"/>
  <c r="F176" i="1"/>
  <c r="E176" i="1"/>
  <c r="K175" i="1" s="1"/>
  <c r="T171" i="1"/>
  <c r="AE175" i="1"/>
  <c r="AF175" i="1" s="1"/>
  <c r="AI175" i="1" s="1"/>
  <c r="AB176" i="1"/>
  <c r="AA176" i="1"/>
  <c r="AG175" i="1" s="1"/>
  <c r="AT171" i="1"/>
  <c r="AR171" i="1" s="1"/>
  <c r="AO172" i="1"/>
  <c r="AO173" i="1"/>
  <c r="AC175" i="1"/>
  <c r="AD175" i="1"/>
  <c r="Z177" i="1"/>
  <c r="AN172" i="1"/>
  <c r="AN173" i="1"/>
  <c r="L175" i="1"/>
  <c r="N175" i="1"/>
  <c r="M175" i="1"/>
  <c r="O174" i="1"/>
  <c r="P174" i="1"/>
  <c r="H175" i="1"/>
  <c r="G175" i="1"/>
  <c r="A183" i="1"/>
  <c r="B182" i="1"/>
  <c r="C182" i="1"/>
  <c r="T172" i="1" l="1"/>
  <c r="W172" i="1" s="1"/>
  <c r="AK174" i="1"/>
  <c r="S173" i="1"/>
  <c r="T173" i="1" s="1"/>
  <c r="W173" i="1" s="1"/>
  <c r="Q175" i="1"/>
  <c r="U172" i="1"/>
  <c r="AL174" i="1"/>
  <c r="AM174" i="1"/>
  <c r="AN174" i="1" s="1"/>
  <c r="L176" i="1"/>
  <c r="M176" i="1"/>
  <c r="W171" i="1"/>
  <c r="X171" i="1"/>
  <c r="AJ175" i="1"/>
  <c r="AH175" i="1"/>
  <c r="D178" i="1"/>
  <c r="F177" i="1"/>
  <c r="E177" i="1"/>
  <c r="K176" i="1" s="1"/>
  <c r="AE176" i="1"/>
  <c r="AF176" i="1" s="1"/>
  <c r="AH176" i="1" s="1"/>
  <c r="AB177" i="1"/>
  <c r="AA177" i="1"/>
  <c r="AG176" i="1" s="1"/>
  <c r="Z178" i="1"/>
  <c r="AQ172" i="1"/>
  <c r="AP172" i="1"/>
  <c r="AS172" i="1" s="1"/>
  <c r="AP173" i="1"/>
  <c r="AS173" i="1" s="1"/>
  <c r="AQ173" i="1"/>
  <c r="AC176" i="1"/>
  <c r="AD176" i="1"/>
  <c r="U173" i="1"/>
  <c r="R174" i="1"/>
  <c r="O175" i="1"/>
  <c r="P175" i="1"/>
  <c r="S174" i="1"/>
  <c r="A184" i="1"/>
  <c r="B183" i="1"/>
  <c r="C183" i="1"/>
  <c r="G176" i="1"/>
  <c r="H176" i="1"/>
  <c r="X172" i="1" l="1"/>
  <c r="V172" i="1" s="1"/>
  <c r="AO174" i="1"/>
  <c r="P176" i="1"/>
  <c r="V171" i="1"/>
  <c r="O176" i="1"/>
  <c r="Q176" i="1"/>
  <c r="AI176" i="1"/>
  <c r="AL175" i="1"/>
  <c r="E178" i="1"/>
  <c r="K177" i="1" s="1"/>
  <c r="D179" i="1"/>
  <c r="I178" i="1" s="1"/>
  <c r="J178" i="1" s="1"/>
  <c r="F178" i="1"/>
  <c r="I177" i="1"/>
  <c r="J177" i="1" s="1"/>
  <c r="AM175" i="1"/>
  <c r="AK175" i="1"/>
  <c r="AJ176" i="1"/>
  <c r="X173" i="1"/>
  <c r="V173" i="1" s="1"/>
  <c r="AE177" i="1"/>
  <c r="AF177" i="1" s="1"/>
  <c r="AI177" i="1" s="1"/>
  <c r="AB178" i="1"/>
  <c r="AA178" i="1"/>
  <c r="AG177" i="1" s="1"/>
  <c r="S175" i="1"/>
  <c r="AC177" i="1"/>
  <c r="AD177" i="1"/>
  <c r="AT173" i="1"/>
  <c r="AR173" i="1" s="1"/>
  <c r="AP174" i="1"/>
  <c r="AS174" i="1" s="1"/>
  <c r="AQ174" i="1"/>
  <c r="Z179" i="1"/>
  <c r="AT172" i="1"/>
  <c r="AR172" i="1" s="1"/>
  <c r="U174" i="1"/>
  <c r="T174" i="1"/>
  <c r="W174" i="1" s="1"/>
  <c r="R175" i="1"/>
  <c r="G177" i="1"/>
  <c r="H177" i="1"/>
  <c r="A185" i="1"/>
  <c r="B184" i="1"/>
  <c r="C184" i="1"/>
  <c r="S176" i="1" l="1"/>
  <c r="R176" i="1"/>
  <c r="AM176" i="1"/>
  <c r="AO175" i="1"/>
  <c r="AN175" i="1"/>
  <c r="AL176" i="1"/>
  <c r="AO176" i="1" s="1"/>
  <c r="AK176" i="1"/>
  <c r="AN176" i="1" s="1"/>
  <c r="N177" i="1"/>
  <c r="L177" i="1"/>
  <c r="M177" i="1"/>
  <c r="E179" i="1"/>
  <c r="K178" i="1" s="1"/>
  <c r="F179" i="1"/>
  <c r="D180" i="1"/>
  <c r="AH177" i="1"/>
  <c r="AJ177" i="1"/>
  <c r="AE178" i="1"/>
  <c r="AF178" i="1" s="1"/>
  <c r="AH178" i="1" s="1"/>
  <c r="AA179" i="1"/>
  <c r="AG178" i="1" s="1"/>
  <c r="AB179" i="1"/>
  <c r="T176" i="1"/>
  <c r="W176" i="1" s="1"/>
  <c r="X174" i="1"/>
  <c r="V174" i="1" s="1"/>
  <c r="AP175" i="1"/>
  <c r="AS175" i="1" s="1"/>
  <c r="AC178" i="1"/>
  <c r="AD178" i="1"/>
  <c r="AT174" i="1"/>
  <c r="AR174" i="1" s="1"/>
  <c r="Z180" i="1"/>
  <c r="T175" i="1"/>
  <c r="W175" i="1" s="1"/>
  <c r="U175" i="1"/>
  <c r="U176" i="1"/>
  <c r="L178" i="1"/>
  <c r="N178" i="1"/>
  <c r="M178" i="1"/>
  <c r="A186" i="1"/>
  <c r="C185" i="1"/>
  <c r="B185" i="1"/>
  <c r="G178" i="1"/>
  <c r="H178" i="1"/>
  <c r="AQ175" i="1" l="1"/>
  <c r="AT175" i="1" s="1"/>
  <c r="AR175" i="1" s="1"/>
  <c r="AJ178" i="1"/>
  <c r="Q177" i="1"/>
  <c r="Q178" i="1"/>
  <c r="AI178" i="1"/>
  <c r="AL178" i="1" s="1"/>
  <c r="AK177" i="1"/>
  <c r="AL177" i="1"/>
  <c r="AM177" i="1"/>
  <c r="D181" i="1"/>
  <c r="I180" i="1" s="1"/>
  <c r="J180" i="1" s="1"/>
  <c r="F180" i="1"/>
  <c r="E180" i="1"/>
  <c r="K179" i="1" s="1"/>
  <c r="O177" i="1"/>
  <c r="P177" i="1"/>
  <c r="I179" i="1"/>
  <c r="J179" i="1" s="1"/>
  <c r="M179" i="1" s="1"/>
  <c r="AE179" i="1"/>
  <c r="AF179" i="1" s="1"/>
  <c r="AJ179" i="1" s="1"/>
  <c r="AA180" i="1"/>
  <c r="AG179" i="1" s="1"/>
  <c r="AB180" i="1"/>
  <c r="X176" i="1"/>
  <c r="V176" i="1" s="1"/>
  <c r="AC179" i="1"/>
  <c r="AD179" i="1"/>
  <c r="Z181" i="1"/>
  <c r="AP176" i="1"/>
  <c r="AS176" i="1" s="1"/>
  <c r="AQ176" i="1"/>
  <c r="X175" i="1"/>
  <c r="V175" i="1" s="1"/>
  <c r="O178" i="1"/>
  <c r="P178" i="1"/>
  <c r="G179" i="1"/>
  <c r="H179" i="1"/>
  <c r="A187" i="1"/>
  <c r="B186" i="1"/>
  <c r="C186" i="1"/>
  <c r="AK178" i="1" l="1"/>
  <c r="AM178" i="1"/>
  <c r="AN177" i="1"/>
  <c r="AO177" i="1"/>
  <c r="AI179" i="1"/>
  <c r="AH179" i="1"/>
  <c r="AM179" i="1" s="1"/>
  <c r="S177" i="1"/>
  <c r="R177" i="1"/>
  <c r="N179" i="1"/>
  <c r="L179" i="1"/>
  <c r="D182" i="1"/>
  <c r="I181" i="1" s="1"/>
  <c r="J181" i="1" s="1"/>
  <c r="F181" i="1"/>
  <c r="E181" i="1"/>
  <c r="K180" i="1" s="1"/>
  <c r="AE180" i="1"/>
  <c r="AF180" i="1" s="1"/>
  <c r="AJ180" i="1" s="1"/>
  <c r="AA181" i="1"/>
  <c r="AG180" i="1" s="1"/>
  <c r="AB181" i="1"/>
  <c r="S178" i="1"/>
  <c r="AO178" i="1"/>
  <c r="AT176" i="1"/>
  <c r="AR176" i="1" s="1"/>
  <c r="AC180" i="1"/>
  <c r="AD180" i="1"/>
  <c r="Z182" i="1"/>
  <c r="L180" i="1"/>
  <c r="M180" i="1"/>
  <c r="N180" i="1"/>
  <c r="R178" i="1"/>
  <c r="A188" i="1"/>
  <c r="B187" i="1"/>
  <c r="C187" i="1"/>
  <c r="G180" i="1"/>
  <c r="H180" i="1"/>
  <c r="AN178" i="1" l="1"/>
  <c r="AP177" i="1"/>
  <c r="AS177" i="1" s="1"/>
  <c r="AQ177" i="1"/>
  <c r="AK179" i="1"/>
  <c r="AN179" i="1" s="1"/>
  <c r="AL179" i="1"/>
  <c r="O179" i="1"/>
  <c r="Q179" i="1"/>
  <c r="Q180" i="1"/>
  <c r="P179" i="1"/>
  <c r="AI180" i="1"/>
  <c r="D183" i="1"/>
  <c r="E182" i="1"/>
  <c r="K181" i="1" s="1"/>
  <c r="F182" i="1"/>
  <c r="AH180" i="1"/>
  <c r="T177" i="1"/>
  <c r="U177" i="1"/>
  <c r="AE181" i="1"/>
  <c r="AF181" i="1" s="1"/>
  <c r="AI181" i="1" s="1"/>
  <c r="AA182" i="1"/>
  <c r="AG181" i="1" s="1"/>
  <c r="AB182" i="1"/>
  <c r="AP178" i="1"/>
  <c r="AS178" i="1" s="1"/>
  <c r="AO179" i="1"/>
  <c r="Z183" i="1"/>
  <c r="AT177" i="1"/>
  <c r="AR177" i="1" s="1"/>
  <c r="AQ178" i="1"/>
  <c r="AC181" i="1"/>
  <c r="AD181" i="1"/>
  <c r="T178" i="1"/>
  <c r="W178" i="1" s="1"/>
  <c r="U178" i="1"/>
  <c r="L181" i="1"/>
  <c r="M181" i="1"/>
  <c r="N181" i="1"/>
  <c r="R179" i="1"/>
  <c r="O180" i="1"/>
  <c r="P180" i="1"/>
  <c r="G181" i="1"/>
  <c r="H181" i="1"/>
  <c r="A189" i="1"/>
  <c r="B188" i="1"/>
  <c r="C188" i="1"/>
  <c r="S179" i="1" l="1"/>
  <c r="Q181" i="1"/>
  <c r="AK180" i="1"/>
  <c r="AM180" i="1"/>
  <c r="W177" i="1"/>
  <c r="X177" i="1"/>
  <c r="AL180" i="1"/>
  <c r="AO180" i="1" s="1"/>
  <c r="D184" i="1"/>
  <c r="I183" i="1" s="1"/>
  <c r="J183" i="1" s="1"/>
  <c r="E183" i="1"/>
  <c r="K182" i="1" s="1"/>
  <c r="F183" i="1"/>
  <c r="I182" i="1"/>
  <c r="J182" i="1" s="1"/>
  <c r="AJ181" i="1"/>
  <c r="AH181" i="1"/>
  <c r="AE182" i="1"/>
  <c r="AF182" i="1" s="1"/>
  <c r="AH182" i="1" s="1"/>
  <c r="AA183" i="1"/>
  <c r="AG182" i="1" s="1"/>
  <c r="AB183" i="1"/>
  <c r="AQ179" i="1"/>
  <c r="AT178" i="1"/>
  <c r="AR178" i="1" s="1"/>
  <c r="AP179" i="1"/>
  <c r="AS179" i="1" s="1"/>
  <c r="S180" i="1"/>
  <c r="Z184" i="1"/>
  <c r="AN180" i="1"/>
  <c r="AC182" i="1"/>
  <c r="AD182" i="1"/>
  <c r="R180" i="1"/>
  <c r="T179" i="1"/>
  <c r="W179" i="1" s="1"/>
  <c r="U179" i="1"/>
  <c r="X178" i="1"/>
  <c r="V178" i="1" s="1"/>
  <c r="O181" i="1"/>
  <c r="P181" i="1"/>
  <c r="A190" i="1"/>
  <c r="C189" i="1"/>
  <c r="B189" i="1"/>
  <c r="G182" i="1"/>
  <c r="H182" i="1"/>
  <c r="V177" i="1" l="1"/>
  <c r="AI182" i="1"/>
  <c r="AJ182" i="1"/>
  <c r="AM182" i="1" s="1"/>
  <c r="AM181" i="1"/>
  <c r="N182" i="1"/>
  <c r="L182" i="1"/>
  <c r="M182" i="1"/>
  <c r="D185" i="1"/>
  <c r="I184" i="1" s="1"/>
  <c r="J184" i="1" s="1"/>
  <c r="F184" i="1"/>
  <c r="E184" i="1"/>
  <c r="K183" i="1" s="1"/>
  <c r="AL181" i="1"/>
  <c r="AK181" i="1"/>
  <c r="AN181" i="1" s="1"/>
  <c r="AE183" i="1"/>
  <c r="AF183" i="1" s="1"/>
  <c r="AI183" i="1" s="1"/>
  <c r="AB184" i="1"/>
  <c r="AA184" i="1"/>
  <c r="AG183" i="1" s="1"/>
  <c r="AT179" i="1"/>
  <c r="AR179" i="1" s="1"/>
  <c r="R181" i="1"/>
  <c r="AC183" i="1"/>
  <c r="AD183" i="1"/>
  <c r="Z185" i="1"/>
  <c r="AQ180" i="1"/>
  <c r="AP180" i="1"/>
  <c r="AS180" i="1" s="1"/>
  <c r="AK182" i="1"/>
  <c r="AL182" i="1"/>
  <c r="X179" i="1"/>
  <c r="V179" i="1" s="1"/>
  <c r="T180" i="1"/>
  <c r="W180" i="1" s="1"/>
  <c r="U180" i="1"/>
  <c r="L183" i="1"/>
  <c r="N183" i="1"/>
  <c r="M183" i="1"/>
  <c r="S181" i="1"/>
  <c r="A191" i="1"/>
  <c r="B190" i="1"/>
  <c r="C190" i="1"/>
  <c r="G183" i="1"/>
  <c r="H183" i="1"/>
  <c r="Q182" i="1" l="1"/>
  <c r="Q183" i="1"/>
  <c r="AO181" i="1"/>
  <c r="AP181" i="1" s="1"/>
  <c r="AJ183" i="1"/>
  <c r="AH183" i="1"/>
  <c r="E185" i="1"/>
  <c r="K184" i="1" s="1"/>
  <c r="D186" i="1"/>
  <c r="I185" i="1" s="1"/>
  <c r="J185" i="1" s="1"/>
  <c r="F185" i="1"/>
  <c r="O182" i="1"/>
  <c r="P182" i="1"/>
  <c r="AE184" i="1"/>
  <c r="AF184" i="1" s="1"/>
  <c r="AH184" i="1" s="1"/>
  <c r="AB185" i="1"/>
  <c r="AA185" i="1"/>
  <c r="AG184" i="1" s="1"/>
  <c r="AQ181" i="1"/>
  <c r="T181" i="1"/>
  <c r="W181" i="1" s="1"/>
  <c r="AT180" i="1"/>
  <c r="AR180" i="1" s="1"/>
  <c r="AO182" i="1"/>
  <c r="AN182" i="1"/>
  <c r="Z186" i="1"/>
  <c r="AC184" i="1"/>
  <c r="AD184" i="1"/>
  <c r="X180" i="1"/>
  <c r="V180" i="1" s="1"/>
  <c r="U181" i="1"/>
  <c r="L184" i="1"/>
  <c r="N184" i="1"/>
  <c r="M184" i="1"/>
  <c r="O183" i="1"/>
  <c r="P183" i="1"/>
  <c r="G184" i="1"/>
  <c r="H184" i="1"/>
  <c r="A192" i="1"/>
  <c r="B191" i="1"/>
  <c r="C191" i="1"/>
  <c r="AK183" i="1" l="1"/>
  <c r="AM183" i="1"/>
  <c r="AL183" i="1"/>
  <c r="AO183" i="1" s="1"/>
  <c r="Q184" i="1"/>
  <c r="S182" i="1"/>
  <c r="R182" i="1"/>
  <c r="AI184" i="1"/>
  <c r="AJ184" i="1"/>
  <c r="D187" i="1"/>
  <c r="F186" i="1"/>
  <c r="E186" i="1"/>
  <c r="K185" i="1" s="1"/>
  <c r="AE185" i="1"/>
  <c r="AF185" i="1" s="1"/>
  <c r="AH185" i="1" s="1"/>
  <c r="AB186" i="1"/>
  <c r="AA186" i="1"/>
  <c r="AG185" i="1" s="1"/>
  <c r="X181" i="1"/>
  <c r="V181" i="1" s="1"/>
  <c r="AT181" i="1"/>
  <c r="AS181" i="1"/>
  <c r="S183" i="1"/>
  <c r="AC185" i="1"/>
  <c r="AD185" i="1"/>
  <c r="Z187" i="1"/>
  <c r="AP182" i="1"/>
  <c r="AS182" i="1" s="1"/>
  <c r="AQ182" i="1"/>
  <c r="AN183" i="1"/>
  <c r="L185" i="1"/>
  <c r="N185" i="1"/>
  <c r="M185" i="1"/>
  <c r="R183" i="1"/>
  <c r="P184" i="1"/>
  <c r="O184" i="1"/>
  <c r="A193" i="1"/>
  <c r="B192" i="1"/>
  <c r="C192" i="1"/>
  <c r="G185" i="1"/>
  <c r="H185" i="1"/>
  <c r="AR181" i="1" l="1"/>
  <c r="Q185" i="1"/>
  <c r="AM184" i="1"/>
  <c r="AL184" i="1"/>
  <c r="AK184" i="1"/>
  <c r="AN184" i="1" s="1"/>
  <c r="D188" i="1"/>
  <c r="E187" i="1"/>
  <c r="K186" i="1" s="1"/>
  <c r="F187" i="1"/>
  <c r="T182" i="1"/>
  <c r="U182" i="1"/>
  <c r="I186" i="1"/>
  <c r="J186" i="1" s="1"/>
  <c r="M186" i="1" s="1"/>
  <c r="AJ185" i="1"/>
  <c r="AI185" i="1"/>
  <c r="AE186" i="1"/>
  <c r="AF186" i="1" s="1"/>
  <c r="AJ186" i="1" s="1"/>
  <c r="AA187" i="1"/>
  <c r="AG186" i="1" s="1"/>
  <c r="AB187" i="1"/>
  <c r="R184" i="1"/>
  <c r="S184" i="1"/>
  <c r="Z188" i="1"/>
  <c r="AQ183" i="1"/>
  <c r="AP183" i="1"/>
  <c r="AS183" i="1" s="1"/>
  <c r="AT182" i="1"/>
  <c r="AR182" i="1" s="1"/>
  <c r="AC186" i="1"/>
  <c r="AD186" i="1"/>
  <c r="T183" i="1"/>
  <c r="W183" i="1" s="1"/>
  <c r="U183" i="1"/>
  <c r="P185" i="1"/>
  <c r="O185" i="1"/>
  <c r="G186" i="1"/>
  <c r="H186" i="1"/>
  <c r="A194" i="1"/>
  <c r="C193" i="1"/>
  <c r="B193" i="1"/>
  <c r="AO184" i="1" l="1"/>
  <c r="AH186" i="1"/>
  <c r="L186" i="1"/>
  <c r="AM185" i="1"/>
  <c r="W182" i="1"/>
  <c r="X182" i="1"/>
  <c r="N186" i="1"/>
  <c r="O186" i="1" s="1"/>
  <c r="E188" i="1"/>
  <c r="K187" i="1" s="1"/>
  <c r="F188" i="1"/>
  <c r="D189" i="1"/>
  <c r="I187" i="1"/>
  <c r="J187" i="1" s="1"/>
  <c r="AI186" i="1"/>
  <c r="AK185" i="1"/>
  <c r="AN185" i="1" s="1"/>
  <c r="AL185" i="1"/>
  <c r="AO185" i="1" s="1"/>
  <c r="AE187" i="1"/>
  <c r="AF187" i="1" s="1"/>
  <c r="AI187" i="1" s="1"/>
  <c r="AA188" i="1"/>
  <c r="AG187" i="1" s="1"/>
  <c r="AB188" i="1"/>
  <c r="T184" i="1"/>
  <c r="W184" i="1" s="1"/>
  <c r="U184" i="1"/>
  <c r="AT183" i="1"/>
  <c r="AR183" i="1" s="1"/>
  <c r="AC187" i="1"/>
  <c r="AD187" i="1"/>
  <c r="S185" i="1"/>
  <c r="Z189" i="1"/>
  <c r="AQ184" i="1"/>
  <c r="AP184" i="1"/>
  <c r="AS184" i="1" s="1"/>
  <c r="X183" i="1"/>
  <c r="V183" i="1" s="1"/>
  <c r="R185" i="1"/>
  <c r="A195" i="1"/>
  <c r="B194" i="1"/>
  <c r="C194" i="1"/>
  <c r="G187" i="1"/>
  <c r="H187" i="1"/>
  <c r="V182" i="1" l="1"/>
  <c r="AK186" i="1"/>
  <c r="Q186" i="1"/>
  <c r="P186" i="1"/>
  <c r="S186" i="1" s="1"/>
  <c r="N187" i="1"/>
  <c r="L187" i="1"/>
  <c r="M187" i="1"/>
  <c r="AL186" i="1"/>
  <c r="D190" i="1"/>
  <c r="I189" i="1" s="1"/>
  <c r="J189" i="1" s="1"/>
  <c r="E189" i="1"/>
  <c r="K188" i="1" s="1"/>
  <c r="F189" i="1"/>
  <c r="I188" i="1"/>
  <c r="J188" i="1" s="1"/>
  <c r="AM186" i="1"/>
  <c r="AJ187" i="1"/>
  <c r="AH187" i="1"/>
  <c r="AE188" i="1"/>
  <c r="AF188" i="1" s="1"/>
  <c r="AI188" i="1" s="1"/>
  <c r="AA189" i="1"/>
  <c r="AG188" i="1" s="1"/>
  <c r="AB189" i="1"/>
  <c r="X184" i="1"/>
  <c r="V184" i="1" s="1"/>
  <c r="AQ185" i="1"/>
  <c r="AP185" i="1"/>
  <c r="AS185" i="1" s="1"/>
  <c r="AT184" i="1"/>
  <c r="AR184" i="1" s="1"/>
  <c r="AN186" i="1"/>
  <c r="AC188" i="1"/>
  <c r="AD188" i="1"/>
  <c r="Z190" i="1"/>
  <c r="T185" i="1"/>
  <c r="W185" i="1" s="1"/>
  <c r="U185" i="1"/>
  <c r="R186" i="1"/>
  <c r="A196" i="1"/>
  <c r="B195" i="1"/>
  <c r="C195" i="1"/>
  <c r="G188" i="1"/>
  <c r="H188" i="1"/>
  <c r="AO186" i="1" l="1"/>
  <c r="Q187" i="1"/>
  <c r="AL187" i="1"/>
  <c r="AH188" i="1"/>
  <c r="AJ188" i="1"/>
  <c r="M188" i="1"/>
  <c r="N188" i="1"/>
  <c r="L188" i="1"/>
  <c r="D191" i="1"/>
  <c r="I190" i="1" s="1"/>
  <c r="J190" i="1" s="1"/>
  <c r="E190" i="1"/>
  <c r="K189" i="1" s="1"/>
  <c r="F190" i="1"/>
  <c r="O187" i="1"/>
  <c r="P187" i="1"/>
  <c r="AK187" i="1"/>
  <c r="AM187" i="1"/>
  <c r="AO187" i="1" s="1"/>
  <c r="AE189" i="1"/>
  <c r="AF189" i="1" s="1"/>
  <c r="AH189" i="1" s="1"/>
  <c r="AA190" i="1"/>
  <c r="AG189" i="1" s="1"/>
  <c r="AB190" i="1"/>
  <c r="AT185" i="1"/>
  <c r="AR185" i="1" s="1"/>
  <c r="AC189" i="1"/>
  <c r="AD189" i="1"/>
  <c r="Z191" i="1"/>
  <c r="AK188" i="1"/>
  <c r="AQ186" i="1"/>
  <c r="AP186" i="1"/>
  <c r="X185" i="1"/>
  <c r="V185" i="1" s="1"/>
  <c r="T186" i="1"/>
  <c r="W186" i="1" s="1"/>
  <c r="U186" i="1"/>
  <c r="L189" i="1"/>
  <c r="N189" i="1"/>
  <c r="M189" i="1"/>
  <c r="G189" i="1"/>
  <c r="H189" i="1"/>
  <c r="A197" i="1"/>
  <c r="B196" i="1"/>
  <c r="C196" i="1"/>
  <c r="AL188" i="1" l="1"/>
  <c r="AM188" i="1"/>
  <c r="AO188" i="1" s="1"/>
  <c r="Q188" i="1"/>
  <c r="Q189" i="1"/>
  <c r="R187" i="1"/>
  <c r="AN187" i="1"/>
  <c r="AQ187" i="1" s="1"/>
  <c r="S187" i="1"/>
  <c r="AJ189" i="1"/>
  <c r="D192" i="1"/>
  <c r="F191" i="1"/>
  <c r="E191" i="1"/>
  <c r="K190" i="1" s="1"/>
  <c r="O188" i="1"/>
  <c r="P188" i="1"/>
  <c r="AI189" i="1"/>
  <c r="AE190" i="1"/>
  <c r="AF190" i="1" s="1"/>
  <c r="AJ190" i="1" s="1"/>
  <c r="AA191" i="1"/>
  <c r="AG190" i="1" s="1"/>
  <c r="AB191" i="1"/>
  <c r="AT186" i="1"/>
  <c r="AS186" i="1"/>
  <c r="AC190" i="1"/>
  <c r="AD190" i="1"/>
  <c r="Z192" i="1"/>
  <c r="X186" i="1"/>
  <c r="V186" i="1" s="1"/>
  <c r="L190" i="1"/>
  <c r="N190" i="1"/>
  <c r="M190" i="1"/>
  <c r="O189" i="1"/>
  <c r="P189" i="1"/>
  <c r="A198" i="1"/>
  <c r="C197" i="1"/>
  <c r="B197" i="1"/>
  <c r="G190" i="1"/>
  <c r="H190" i="1"/>
  <c r="AN188" i="1" l="1"/>
  <c r="AR186" i="1"/>
  <c r="AP187" i="1"/>
  <c r="AS187" i="1" s="1"/>
  <c r="AL189" i="1"/>
  <c r="U187" i="1"/>
  <c r="T187" i="1"/>
  <c r="W187" i="1" s="1"/>
  <c r="Q190" i="1"/>
  <c r="AH190" i="1"/>
  <c r="AI190" i="1"/>
  <c r="R188" i="1"/>
  <c r="S188" i="1"/>
  <c r="AK189" i="1"/>
  <c r="AM189" i="1"/>
  <c r="D193" i="1"/>
  <c r="F192" i="1"/>
  <c r="E192" i="1"/>
  <c r="K191" i="1" s="1"/>
  <c r="I191" i="1"/>
  <c r="J191" i="1" s="1"/>
  <c r="AE191" i="1"/>
  <c r="AF191" i="1" s="1"/>
  <c r="AJ191" i="1" s="1"/>
  <c r="AB192" i="1"/>
  <c r="AA192" i="1"/>
  <c r="AG191" i="1" s="1"/>
  <c r="R189" i="1"/>
  <c r="AT187" i="1"/>
  <c r="AR187" i="1" s="1"/>
  <c r="AC191" i="1"/>
  <c r="AD191" i="1"/>
  <c r="Z193" i="1"/>
  <c r="AQ188" i="1"/>
  <c r="AP188" i="1"/>
  <c r="AS188" i="1" s="1"/>
  <c r="S189" i="1"/>
  <c r="O190" i="1"/>
  <c r="P190" i="1"/>
  <c r="G191" i="1"/>
  <c r="H191" i="1"/>
  <c r="A199" i="1"/>
  <c r="B198" i="1"/>
  <c r="C198" i="1"/>
  <c r="AO189" i="1" l="1"/>
  <c r="X187" i="1"/>
  <c r="V187" i="1" s="1"/>
  <c r="AL190" i="1"/>
  <c r="AK190" i="1"/>
  <c r="AM190" i="1"/>
  <c r="AN189" i="1"/>
  <c r="AQ189" i="1" s="1"/>
  <c r="AH191" i="1"/>
  <c r="L191" i="1"/>
  <c r="N191" i="1"/>
  <c r="M191" i="1"/>
  <c r="AI191" i="1"/>
  <c r="D194" i="1"/>
  <c r="I193" i="1" s="1"/>
  <c r="J193" i="1" s="1"/>
  <c r="E193" i="1"/>
  <c r="K192" i="1" s="1"/>
  <c r="F193" i="1"/>
  <c r="I192" i="1"/>
  <c r="J192" i="1" s="1"/>
  <c r="T188" i="1"/>
  <c r="U188" i="1"/>
  <c r="AE192" i="1"/>
  <c r="AF192" i="1" s="1"/>
  <c r="AI192" i="1" s="1"/>
  <c r="AB193" i="1"/>
  <c r="AA193" i="1"/>
  <c r="AG192" i="1" s="1"/>
  <c r="T189" i="1"/>
  <c r="W189" i="1" s="1"/>
  <c r="AO190" i="1"/>
  <c r="AT188" i="1"/>
  <c r="AR188" i="1" s="1"/>
  <c r="AC192" i="1"/>
  <c r="AD192" i="1"/>
  <c r="Z194" i="1"/>
  <c r="U189" i="1"/>
  <c r="R190" i="1"/>
  <c r="S190" i="1"/>
  <c r="A200" i="1"/>
  <c r="B199" i="1"/>
  <c r="C199" i="1"/>
  <c r="G192" i="1"/>
  <c r="H192" i="1"/>
  <c r="AN190" i="1" l="1"/>
  <c r="AP189" i="1"/>
  <c r="AS189" i="1" s="1"/>
  <c r="AK191" i="1"/>
  <c r="Q191" i="1"/>
  <c r="AH192" i="1"/>
  <c r="AJ192" i="1"/>
  <c r="AM191" i="1"/>
  <c r="AL191" i="1"/>
  <c r="W188" i="1"/>
  <c r="X188" i="1"/>
  <c r="O191" i="1"/>
  <c r="P191" i="1"/>
  <c r="F194" i="1"/>
  <c r="E194" i="1"/>
  <c r="K193" i="1" s="1"/>
  <c r="D195" i="1"/>
  <c r="I194" i="1" s="1"/>
  <c r="J194" i="1" s="1"/>
  <c r="N192" i="1"/>
  <c r="M192" i="1"/>
  <c r="L192" i="1"/>
  <c r="AE193" i="1"/>
  <c r="AF193" i="1" s="1"/>
  <c r="AI193" i="1" s="1"/>
  <c r="AB194" i="1"/>
  <c r="AA194" i="1"/>
  <c r="AG193" i="1" s="1"/>
  <c r="X189" i="1"/>
  <c r="V189" i="1" s="1"/>
  <c r="AT189" i="1"/>
  <c r="AR189" i="1" s="1"/>
  <c r="AK192" i="1"/>
  <c r="AP190" i="1"/>
  <c r="AS190" i="1" s="1"/>
  <c r="AQ190" i="1"/>
  <c r="AC193" i="1"/>
  <c r="AD193" i="1"/>
  <c r="Z195" i="1"/>
  <c r="T190" i="1"/>
  <c r="W190" i="1" s="1"/>
  <c r="U190" i="1"/>
  <c r="L193" i="1"/>
  <c r="N193" i="1"/>
  <c r="M193" i="1"/>
  <c r="A201" i="1"/>
  <c r="B200" i="1"/>
  <c r="C200" i="1"/>
  <c r="G193" i="1"/>
  <c r="H193" i="1"/>
  <c r="AL192" i="1" l="1"/>
  <c r="AM192" i="1"/>
  <c r="Q192" i="1"/>
  <c r="V188" i="1"/>
  <c r="Q193" i="1"/>
  <c r="AO191" i="1"/>
  <c r="AN191" i="1"/>
  <c r="S191" i="1"/>
  <c r="O192" i="1"/>
  <c r="P192" i="1"/>
  <c r="R191" i="1"/>
  <c r="E195" i="1"/>
  <c r="K194" i="1" s="1"/>
  <c r="F195" i="1"/>
  <c r="D196" i="1"/>
  <c r="AH193" i="1"/>
  <c r="AJ193" i="1"/>
  <c r="AE194" i="1"/>
  <c r="AF194" i="1" s="1"/>
  <c r="AI194" i="1" s="1"/>
  <c r="AA195" i="1"/>
  <c r="AG194" i="1" s="1"/>
  <c r="AB195" i="1"/>
  <c r="AO192" i="1"/>
  <c r="AC194" i="1"/>
  <c r="AD194" i="1"/>
  <c r="Z196" i="1"/>
  <c r="AT190" i="1"/>
  <c r="AR190" i="1" s="1"/>
  <c r="AN192" i="1"/>
  <c r="X190" i="1"/>
  <c r="V190" i="1" s="1"/>
  <c r="L194" i="1"/>
  <c r="M194" i="1"/>
  <c r="N194" i="1"/>
  <c r="P193" i="1"/>
  <c r="O193" i="1"/>
  <c r="G194" i="1"/>
  <c r="H194" i="1"/>
  <c r="A202" i="1"/>
  <c r="C201" i="1"/>
  <c r="B201" i="1"/>
  <c r="AP191" i="1" l="1"/>
  <c r="AL193" i="1"/>
  <c r="AQ191" i="1"/>
  <c r="AT191" i="1" s="1"/>
  <c r="Q194" i="1"/>
  <c r="AK193" i="1"/>
  <c r="AH194" i="1"/>
  <c r="AJ194" i="1"/>
  <c r="T191" i="1"/>
  <c r="U191" i="1"/>
  <c r="S192" i="1"/>
  <c r="F196" i="1"/>
  <c r="D197" i="1"/>
  <c r="E196" i="1"/>
  <c r="K195" i="1" s="1"/>
  <c r="I195" i="1"/>
  <c r="J195" i="1" s="1"/>
  <c r="L195" i="1" s="1"/>
  <c r="R192" i="1"/>
  <c r="AM193" i="1"/>
  <c r="AA196" i="1"/>
  <c r="AG195" i="1" s="1"/>
  <c r="AB196" i="1"/>
  <c r="S193" i="1"/>
  <c r="AS191" i="1"/>
  <c r="AP192" i="1"/>
  <c r="AS192" i="1" s="1"/>
  <c r="AQ192" i="1"/>
  <c r="Z197" i="1"/>
  <c r="AC195" i="1"/>
  <c r="AD195" i="1"/>
  <c r="AE195" i="1"/>
  <c r="AF195" i="1" s="1"/>
  <c r="R193" i="1"/>
  <c r="O194" i="1"/>
  <c r="P194" i="1"/>
  <c r="A203" i="1"/>
  <c r="B202" i="1"/>
  <c r="C202" i="1"/>
  <c r="G195" i="1"/>
  <c r="H195" i="1"/>
  <c r="AM194" i="1" l="1"/>
  <c r="AO193" i="1"/>
  <c r="AK194" i="1"/>
  <c r="AL194" i="1"/>
  <c r="AR191" i="1"/>
  <c r="AN193" i="1"/>
  <c r="AQ193" i="1" s="1"/>
  <c r="D198" i="1"/>
  <c r="I197" i="1" s="1"/>
  <c r="J197" i="1" s="1"/>
  <c r="E197" i="1"/>
  <c r="K196" i="1" s="1"/>
  <c r="F197" i="1"/>
  <c r="N195" i="1"/>
  <c r="W191" i="1"/>
  <c r="X191" i="1"/>
  <c r="M195" i="1"/>
  <c r="U192" i="1"/>
  <c r="T192" i="1"/>
  <c r="I196" i="1"/>
  <c r="J196" i="1" s="1"/>
  <c r="AE196" i="1"/>
  <c r="AF196" i="1" s="1"/>
  <c r="AI196" i="1" s="1"/>
  <c r="AA197" i="1"/>
  <c r="AG196" i="1" s="1"/>
  <c r="AB197" i="1"/>
  <c r="U193" i="1"/>
  <c r="T193" i="1"/>
  <c r="AN194" i="1"/>
  <c r="AO194" i="1"/>
  <c r="AC196" i="1"/>
  <c r="AD196" i="1"/>
  <c r="Z198" i="1"/>
  <c r="AI195" i="1"/>
  <c r="AJ195" i="1"/>
  <c r="AH195" i="1"/>
  <c r="AP193" i="1"/>
  <c r="AS193" i="1" s="1"/>
  <c r="AT192" i="1"/>
  <c r="AR192" i="1" s="1"/>
  <c r="R194" i="1"/>
  <c r="S194" i="1"/>
  <c r="G196" i="1"/>
  <c r="H196" i="1"/>
  <c r="A204" i="1"/>
  <c r="B203" i="1"/>
  <c r="C203" i="1"/>
  <c r="Q195" i="1" l="1"/>
  <c r="V191" i="1"/>
  <c r="P195" i="1"/>
  <c r="O195" i="1"/>
  <c r="R195" i="1" s="1"/>
  <c r="L196" i="1"/>
  <c r="M196" i="1"/>
  <c r="N196" i="1"/>
  <c r="X193" i="1"/>
  <c r="W192" i="1"/>
  <c r="X192" i="1"/>
  <c r="F198" i="1"/>
  <c r="D199" i="1"/>
  <c r="E198" i="1"/>
  <c r="K197" i="1" s="1"/>
  <c r="AH196" i="1"/>
  <c r="AJ196" i="1"/>
  <c r="AA198" i="1"/>
  <c r="AG197" i="1" s="1"/>
  <c r="AB198" i="1"/>
  <c r="AQ194" i="1"/>
  <c r="AP194" i="1"/>
  <c r="AS194" i="1" s="1"/>
  <c r="W193" i="1"/>
  <c r="T194" i="1"/>
  <c r="W194" i="1" s="1"/>
  <c r="S195" i="1"/>
  <c r="Z199" i="1"/>
  <c r="AK195" i="1"/>
  <c r="AL195" i="1"/>
  <c r="AM195" i="1"/>
  <c r="AT193" i="1"/>
  <c r="AR193" i="1" s="1"/>
  <c r="AC197" i="1"/>
  <c r="AD197" i="1"/>
  <c r="AE197" i="1"/>
  <c r="AF197" i="1" s="1"/>
  <c r="U194" i="1"/>
  <c r="L197" i="1"/>
  <c r="N197" i="1"/>
  <c r="M197" i="1"/>
  <c r="B204" i="1"/>
  <c r="C204" i="1"/>
  <c r="G197" i="1"/>
  <c r="H197" i="1"/>
  <c r="V192" i="1" l="1"/>
  <c r="V193" i="1"/>
  <c r="Q197" i="1"/>
  <c r="Q196" i="1"/>
  <c r="AK196" i="1"/>
  <c r="D200" i="1"/>
  <c r="E199" i="1"/>
  <c r="K198" i="1" s="1"/>
  <c r="F199" i="1"/>
  <c r="I198" i="1"/>
  <c r="J198" i="1" s="1"/>
  <c r="M198" i="1" s="1"/>
  <c r="O196" i="1"/>
  <c r="P196" i="1"/>
  <c r="AL196" i="1"/>
  <c r="AM196" i="1"/>
  <c r="AE198" i="1"/>
  <c r="AF198" i="1" s="1"/>
  <c r="AI198" i="1" s="1"/>
  <c r="AA199" i="1"/>
  <c r="AG198" i="1" s="1"/>
  <c r="AB199" i="1"/>
  <c r="AT194" i="1"/>
  <c r="AR194" i="1" s="1"/>
  <c r="X194" i="1"/>
  <c r="V194" i="1" s="1"/>
  <c r="AN195" i="1"/>
  <c r="AO195" i="1"/>
  <c r="AH197" i="1"/>
  <c r="AJ197" i="1"/>
  <c r="AI197" i="1"/>
  <c r="AN196" i="1"/>
  <c r="AC198" i="1"/>
  <c r="AD198" i="1"/>
  <c r="Z200" i="1"/>
  <c r="T195" i="1"/>
  <c r="W195" i="1" s="1"/>
  <c r="U195" i="1"/>
  <c r="O197" i="1"/>
  <c r="P197" i="1"/>
  <c r="I199" i="1"/>
  <c r="J199" i="1" s="1"/>
  <c r="G198" i="1"/>
  <c r="H198" i="1"/>
  <c r="AO196" i="1" l="1"/>
  <c r="L198" i="1"/>
  <c r="N198" i="1"/>
  <c r="S196" i="1"/>
  <c r="R196" i="1"/>
  <c r="AH198" i="1"/>
  <c r="F200" i="1"/>
  <c r="E200" i="1"/>
  <c r="K199" i="1" s="1"/>
  <c r="D201" i="1"/>
  <c r="I200" i="1" s="1"/>
  <c r="J200" i="1" s="1"/>
  <c r="AJ198" i="1"/>
  <c r="AE199" i="1"/>
  <c r="AF199" i="1" s="1"/>
  <c r="AH199" i="1" s="1"/>
  <c r="AB200" i="1"/>
  <c r="AA200" i="1"/>
  <c r="AG199" i="1" s="1"/>
  <c r="AQ195" i="1"/>
  <c r="AP195" i="1"/>
  <c r="AS195" i="1" s="1"/>
  <c r="AQ196" i="1"/>
  <c r="AP196" i="1"/>
  <c r="AS196" i="1" s="1"/>
  <c r="Z201" i="1"/>
  <c r="AL197" i="1"/>
  <c r="AM197" i="1"/>
  <c r="AK197" i="1"/>
  <c r="AC199" i="1"/>
  <c r="AD199" i="1"/>
  <c r="R197" i="1"/>
  <c r="X195" i="1"/>
  <c r="V195" i="1" s="1"/>
  <c r="L199" i="1"/>
  <c r="M199" i="1"/>
  <c r="N199" i="1"/>
  <c r="S197" i="1"/>
  <c r="O198" i="1"/>
  <c r="P198" i="1"/>
  <c r="G199" i="1"/>
  <c r="H199" i="1"/>
  <c r="Q198" i="1" l="1"/>
  <c r="Q199" i="1"/>
  <c r="AL198" i="1"/>
  <c r="AK198" i="1"/>
  <c r="AM198" i="1"/>
  <c r="AJ199" i="1"/>
  <c r="E201" i="1"/>
  <c r="K200" i="1" s="1"/>
  <c r="D202" i="1"/>
  <c r="I201" i="1" s="1"/>
  <c r="J201" i="1" s="1"/>
  <c r="F201" i="1"/>
  <c r="T196" i="1"/>
  <c r="U196" i="1"/>
  <c r="AI199" i="1"/>
  <c r="AE200" i="1"/>
  <c r="AF200" i="1" s="1"/>
  <c r="AH200" i="1" s="1"/>
  <c r="AB201" i="1"/>
  <c r="AA201" i="1"/>
  <c r="AG200" i="1" s="1"/>
  <c r="AO197" i="1"/>
  <c r="AT195" i="1"/>
  <c r="AR195" i="1" s="1"/>
  <c r="T197" i="1"/>
  <c r="W197" i="1" s="1"/>
  <c r="AN197" i="1"/>
  <c r="AT196" i="1"/>
  <c r="AR196" i="1" s="1"/>
  <c r="AC200" i="1"/>
  <c r="AD200" i="1"/>
  <c r="AO198" i="1"/>
  <c r="Z202" i="1"/>
  <c r="U197" i="1"/>
  <c r="R198" i="1"/>
  <c r="S198" i="1"/>
  <c r="L200" i="1"/>
  <c r="N200" i="1"/>
  <c r="M200" i="1"/>
  <c r="O199" i="1"/>
  <c r="P199" i="1"/>
  <c r="G200" i="1"/>
  <c r="H200" i="1"/>
  <c r="AN198" i="1" l="1"/>
  <c r="AP198" i="1" s="1"/>
  <c r="Q200" i="1"/>
  <c r="AK199" i="1"/>
  <c r="W196" i="1"/>
  <c r="X196" i="1"/>
  <c r="AJ200" i="1"/>
  <c r="AM199" i="1"/>
  <c r="E202" i="1"/>
  <c r="K201" i="1" s="1"/>
  <c r="D203" i="1"/>
  <c r="I202" i="1" s="1"/>
  <c r="J202" i="1" s="1"/>
  <c r="F202" i="1"/>
  <c r="AL199" i="1"/>
  <c r="AI200" i="1"/>
  <c r="AE201" i="1"/>
  <c r="AF201" i="1" s="1"/>
  <c r="AH201" i="1" s="1"/>
  <c r="AB202" i="1"/>
  <c r="AA202" i="1"/>
  <c r="AG201" i="1" s="1"/>
  <c r="X197" i="1"/>
  <c r="V197" i="1" s="1"/>
  <c r="AP197" i="1"/>
  <c r="AS197" i="1" s="1"/>
  <c r="AQ197" i="1"/>
  <c r="AC201" i="1"/>
  <c r="AD201" i="1"/>
  <c r="Z203" i="1"/>
  <c r="U198" i="1"/>
  <c r="T198" i="1"/>
  <c r="W198" i="1" s="1"/>
  <c r="S199" i="1"/>
  <c r="L201" i="1"/>
  <c r="N201" i="1"/>
  <c r="M201" i="1"/>
  <c r="R199" i="1"/>
  <c r="P200" i="1"/>
  <c r="O200" i="1"/>
  <c r="G201" i="1"/>
  <c r="H201" i="1"/>
  <c r="AK200" i="1" l="1"/>
  <c r="AQ198" i="1"/>
  <c r="AM200" i="1"/>
  <c r="AL200" i="1"/>
  <c r="V196" i="1"/>
  <c r="Q201" i="1"/>
  <c r="AI201" i="1"/>
  <c r="AO199" i="1"/>
  <c r="AN199" i="1"/>
  <c r="F203" i="1"/>
  <c r="D204" i="1"/>
  <c r="I203" i="1" s="1"/>
  <c r="J203" i="1" s="1"/>
  <c r="E203" i="1"/>
  <c r="K202" i="1" s="1"/>
  <c r="AJ201" i="1"/>
  <c r="AE202" i="1"/>
  <c r="AF202" i="1" s="1"/>
  <c r="AI202" i="1" s="1"/>
  <c r="AA203" i="1"/>
  <c r="AG202" i="1" s="1"/>
  <c r="AB203" i="1"/>
  <c r="AT197" i="1"/>
  <c r="AR197" i="1" s="1"/>
  <c r="AT198" i="1"/>
  <c r="AS198" i="1"/>
  <c r="AO200" i="1"/>
  <c r="AC202" i="1"/>
  <c r="AD202" i="1"/>
  <c r="Z204" i="1"/>
  <c r="AN200" i="1"/>
  <c r="T199" i="1"/>
  <c r="W199" i="1" s="1"/>
  <c r="U199" i="1"/>
  <c r="X198" i="1"/>
  <c r="V198" i="1" s="1"/>
  <c r="S200" i="1"/>
  <c r="R200" i="1"/>
  <c r="L202" i="1"/>
  <c r="N202" i="1"/>
  <c r="M202" i="1"/>
  <c r="P201" i="1"/>
  <c r="O201" i="1"/>
  <c r="G202" i="1"/>
  <c r="H202" i="1"/>
  <c r="AP199" i="1" l="1"/>
  <c r="AS199" i="1" s="1"/>
  <c r="AR198" i="1"/>
  <c r="AK201" i="1"/>
  <c r="AQ199" i="1"/>
  <c r="Q202" i="1"/>
  <c r="AL201" i="1"/>
  <c r="AM201" i="1"/>
  <c r="AO201" i="1" s="1"/>
  <c r="E204" i="1"/>
  <c r="K203" i="1" s="1"/>
  <c r="F204" i="1"/>
  <c r="AH202" i="1"/>
  <c r="AJ202" i="1"/>
  <c r="AE203" i="1"/>
  <c r="AF203" i="1" s="1"/>
  <c r="AH203" i="1" s="1"/>
  <c r="AA204" i="1"/>
  <c r="AG203" i="1" s="1"/>
  <c r="AB204" i="1"/>
  <c r="AT199" i="1"/>
  <c r="AR199" i="1" s="1"/>
  <c r="R201" i="1"/>
  <c r="AC203" i="1"/>
  <c r="AD203" i="1"/>
  <c r="AQ200" i="1"/>
  <c r="AP200" i="1"/>
  <c r="AS200" i="1" s="1"/>
  <c r="X199" i="1"/>
  <c r="V199" i="1" s="1"/>
  <c r="T200" i="1"/>
  <c r="W200" i="1" s="1"/>
  <c r="U200" i="1"/>
  <c r="S201" i="1"/>
  <c r="L203" i="1"/>
  <c r="N203" i="1"/>
  <c r="M203" i="1"/>
  <c r="O202" i="1"/>
  <c r="P202" i="1"/>
  <c r="G203" i="1"/>
  <c r="H203" i="1"/>
  <c r="AL13" i="1" l="1"/>
  <c r="AL12" i="1"/>
  <c r="AN201" i="1"/>
  <c r="P13" i="1"/>
  <c r="P12" i="1"/>
  <c r="Q203" i="1"/>
  <c r="AL202" i="1"/>
  <c r="AM202" i="1"/>
  <c r="AO202" i="1" s="1"/>
  <c r="AK202" i="1"/>
  <c r="AN202" i="1" s="1"/>
  <c r="AJ203" i="1"/>
  <c r="AL203" i="1" s="1"/>
  <c r="AI203" i="1"/>
  <c r="T201" i="1"/>
  <c r="W201" i="1" s="1"/>
  <c r="S202" i="1"/>
  <c r="R202" i="1"/>
  <c r="AC204" i="1"/>
  <c r="AD204" i="1"/>
  <c r="AQ201" i="1"/>
  <c r="AP201" i="1"/>
  <c r="AS201" i="1" s="1"/>
  <c r="AT200" i="1"/>
  <c r="AR200" i="1" s="1"/>
  <c r="X200" i="1"/>
  <c r="V200" i="1" s="1"/>
  <c r="U201" i="1"/>
  <c r="O203" i="1"/>
  <c r="P203" i="1"/>
  <c r="G204" i="1"/>
  <c r="H204" i="1"/>
  <c r="AK203" i="1" l="1"/>
  <c r="AM203" i="1"/>
  <c r="X201" i="1"/>
  <c r="V201" i="1" s="1"/>
  <c r="AP202" i="1"/>
  <c r="AS202" i="1" s="1"/>
  <c r="U202" i="1"/>
  <c r="AQ202" i="1"/>
  <c r="AO203" i="1"/>
  <c r="T202" i="1"/>
  <c r="W202" i="1" s="1"/>
  <c r="AT201" i="1"/>
  <c r="AR201" i="1" s="1"/>
  <c r="S203" i="1"/>
  <c r="R203" i="1"/>
  <c r="AN203" i="1" l="1"/>
  <c r="AT202" i="1"/>
  <c r="AR202" i="1" s="1"/>
  <c r="AQ203" i="1"/>
  <c r="X202" i="1"/>
  <c r="V202" i="1" s="1"/>
  <c r="AP203" i="1"/>
  <c r="T203" i="1"/>
  <c r="U203" i="1"/>
  <c r="W203" i="1" l="1"/>
  <c r="AT203" i="1"/>
  <c r="AS203" i="1"/>
  <c r="AO18" i="1" s="1"/>
  <c r="X203" i="1"/>
  <c r="S19" i="1" s="1"/>
  <c r="S17" i="1" s="1"/>
  <c r="AO19" i="1" l="1"/>
  <c r="AO17" i="1" s="1"/>
  <c r="AR203" i="1"/>
  <c r="S18" i="1"/>
  <c r="S16" i="1" s="1"/>
  <c r="V203" i="1"/>
  <c r="AO16" i="1"/>
  <c r="BC15" i="1" l="1"/>
  <c r="BC5" i="1"/>
  <c r="BC12" i="1" s="1"/>
  <c r="BC22" i="1" s="1"/>
  <c r="BC4" i="1"/>
  <c r="BC8" i="1"/>
  <c r="BC11" i="1" l="1"/>
  <c r="BE4" i="1" a="1"/>
  <c r="BE4" i="1" s="1"/>
  <c r="BH8" i="1" l="1"/>
  <c r="BG8" i="1"/>
  <c r="BG7" i="1"/>
  <c r="BH7" i="1"/>
  <c r="BC21" i="1"/>
  <c r="BE21" i="1" s="1" a="1"/>
  <c r="BE11" i="1" a="1"/>
  <c r="BG10" i="1" l="1"/>
  <c r="BE21" i="1"/>
  <c r="BH21" i="1"/>
  <c r="G19" i="1" s="1"/>
  <c r="BH20" i="1"/>
  <c r="BH24" i="1"/>
  <c r="BJ24" i="1"/>
  <c r="BG15" i="1"/>
  <c r="BE11" i="1"/>
  <c r="BG14" i="1"/>
  <c r="BH14" i="1"/>
  <c r="BH15" i="1"/>
  <c r="BG17" i="1" l="1"/>
  <c r="F15" i="1"/>
  <c r="F14" i="1"/>
  <c r="BH23" i="1"/>
  <c r="F18" i="1" s="1"/>
  <c r="BG21" i="1"/>
  <c r="BG20" i="1"/>
  <c r="F19" i="1" s="1"/>
  <c r="F20" i="1" s="1"/>
  <c r="G20" i="1" s="1"/>
  <c r="BJ23" i="1"/>
  <c r="BJ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<sst xmlns="http://schemas.openxmlformats.org/spreadsheetml/2006/main" count="921" uniqueCount="343">
  <si>
    <t>γ</t>
  </si>
  <si>
    <r>
      <t>kN/m</t>
    </r>
    <r>
      <rPr>
        <vertAlign val="superscript"/>
        <sz val="11"/>
        <color theme="1"/>
        <rFont val="Calibri"/>
        <family val="2"/>
        <scheme val="minor"/>
      </rPr>
      <t>3</t>
    </r>
  </si>
  <si>
    <t>c</t>
  </si>
  <si>
    <t>kPa</t>
  </si>
  <si>
    <t>φ</t>
  </si>
  <si>
    <t>rad</t>
  </si>
  <si>
    <t>Ks/Kn</t>
  </si>
  <si>
    <t>z</t>
  </si>
  <si>
    <t>m</t>
  </si>
  <si>
    <t>p</t>
  </si>
  <si>
    <t>MPa</t>
  </si>
  <si>
    <t>k</t>
  </si>
  <si>
    <t>R</t>
  </si>
  <si>
    <t>hmax</t>
  </si>
  <si>
    <r>
      <t>α</t>
    </r>
    <r>
      <rPr>
        <vertAlign val="subscript"/>
        <sz val="11"/>
        <color theme="1"/>
        <rFont val="Calibri"/>
        <family val="2"/>
        <scheme val="minor"/>
      </rPr>
      <t>1</t>
    </r>
  </si>
  <si>
    <r>
      <t>α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</si>
  <si>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r>
      <t>σ</t>
    </r>
    <r>
      <rPr>
        <vertAlign val="subscript"/>
        <sz val="11"/>
        <color theme="1"/>
        <rFont val="Calibri"/>
        <family val="2"/>
        <scheme val="minor"/>
      </rPr>
      <t>t</t>
    </r>
  </si>
  <si>
    <t>Constrains</t>
  </si>
  <si>
    <t>h</t>
  </si>
  <si>
    <r>
      <t>θ</t>
    </r>
    <r>
      <rPr>
        <vertAlign val="subscript"/>
        <sz val="11"/>
        <color theme="1"/>
        <rFont val="Calibri"/>
        <family val="2"/>
        <scheme val="minor"/>
      </rPr>
      <t>1</t>
    </r>
  </si>
  <si>
    <r>
      <t>θ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</si>
  <si>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W</t>
  </si>
  <si>
    <t>kN/m</t>
  </si>
  <si>
    <t>H0</t>
  </si>
  <si>
    <t>S1</t>
  </si>
  <si>
    <t>A1</t>
  </si>
  <si>
    <r>
      <t>Ε</t>
    </r>
    <r>
      <rPr>
        <vertAlign val="subscript"/>
        <sz val="11"/>
        <color theme="1"/>
        <rFont val="Calibri"/>
        <family val="2"/>
        <scheme val="minor"/>
      </rPr>
      <t>1</t>
    </r>
  </si>
  <si>
    <r>
      <t>Ε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</si>
  <si>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i</t>
  </si>
  <si>
    <r>
      <t>θ</t>
    </r>
    <r>
      <rPr>
        <vertAlign val="subscript"/>
        <sz val="11"/>
        <color theme="1"/>
        <rFont val="Calibri"/>
        <family val="2"/>
        <scheme val="minor"/>
      </rPr>
      <t>r</t>
    </r>
  </si>
  <si>
    <r>
      <t>r</t>
    </r>
    <r>
      <rPr>
        <vertAlign val="subscript"/>
        <sz val="11"/>
        <color theme="1"/>
        <rFont val="Calibri"/>
        <family val="2"/>
        <scheme val="minor"/>
      </rPr>
      <t>r</t>
    </r>
  </si>
  <si>
    <t>u</t>
  </si>
  <si>
    <t>θ</t>
  </si>
  <si>
    <t>x</t>
  </si>
  <si>
    <t>y</t>
  </si>
  <si>
    <r>
      <t>x</t>
    </r>
    <r>
      <rPr>
        <vertAlign val="subscript"/>
        <sz val="11"/>
        <color theme="1"/>
        <rFont val="Calibri"/>
        <family val="2"/>
        <scheme val="minor"/>
      </rPr>
      <t>r</t>
    </r>
  </si>
  <si>
    <r>
      <t>y</t>
    </r>
    <r>
      <rPr>
        <vertAlign val="subscript"/>
        <sz val="11"/>
        <color theme="1"/>
        <rFont val="Calibri"/>
        <family val="2"/>
        <scheme val="minor"/>
      </rPr>
      <t>r</t>
    </r>
  </si>
  <si>
    <r>
      <t>θ</t>
    </r>
    <r>
      <rPr>
        <vertAlign val="subscript"/>
        <sz val="11"/>
        <color theme="1"/>
        <rFont val="Calibri"/>
        <family val="2"/>
        <scheme val="minor"/>
      </rPr>
      <t>rc</t>
    </r>
  </si>
  <si>
    <r>
      <t>r</t>
    </r>
    <r>
      <rPr>
        <vertAlign val="subscript"/>
        <sz val="11"/>
        <color theme="1"/>
        <rFont val="Calibri"/>
        <family val="2"/>
        <scheme val="minor"/>
      </rPr>
      <t>rc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</si>
  <si>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</si>
  <si>
    <r>
      <t>δE</t>
    </r>
    <r>
      <rPr>
        <vertAlign val="subscript"/>
        <sz val="11"/>
        <color theme="1"/>
        <rFont val="Calibri"/>
        <family val="2"/>
        <scheme val="minor"/>
      </rPr>
      <t>r</t>
    </r>
  </si>
  <si>
    <r>
      <t>σ</t>
    </r>
    <r>
      <rPr>
        <vertAlign val="subscript"/>
        <sz val="11"/>
        <color theme="1"/>
        <rFont val="Calibri"/>
        <family val="2"/>
        <scheme val="minor"/>
      </rPr>
      <t>rr</t>
    </r>
  </si>
  <si>
    <r>
      <t>σ</t>
    </r>
    <r>
      <rPr>
        <vertAlign val="subscript"/>
        <sz val="11"/>
        <color theme="1"/>
        <rFont val="Calibri"/>
        <family val="2"/>
        <scheme val="minor"/>
      </rPr>
      <t>θθ</t>
    </r>
  </si>
  <si>
    <r>
      <t>σ</t>
    </r>
    <r>
      <rPr>
        <vertAlign val="subscript"/>
        <sz val="11"/>
        <color theme="1"/>
        <rFont val="Calibri"/>
        <family val="2"/>
        <scheme val="minor"/>
      </rPr>
      <t>rθ</t>
    </r>
  </si>
  <si>
    <r>
      <t>σ</t>
    </r>
    <r>
      <rPr>
        <vertAlign val="subscript"/>
        <sz val="11"/>
        <color theme="1"/>
        <rFont val="Calibri"/>
        <family val="2"/>
        <scheme val="minor"/>
      </rPr>
      <t>xx</t>
    </r>
  </si>
  <si>
    <r>
      <t>σ</t>
    </r>
    <r>
      <rPr>
        <vertAlign val="subscript"/>
        <sz val="11"/>
        <color theme="1"/>
        <rFont val="Calibri"/>
        <family val="2"/>
        <scheme val="minor"/>
      </rPr>
      <t>yy</t>
    </r>
  </si>
  <si>
    <r>
      <t>σ</t>
    </r>
    <r>
      <rPr>
        <vertAlign val="subscript"/>
        <sz val="11"/>
        <color theme="1"/>
        <rFont val="Calibri"/>
        <family val="2"/>
        <scheme val="minor"/>
      </rPr>
      <t>xy</t>
    </r>
  </si>
  <si>
    <r>
      <t>n</t>
    </r>
    <r>
      <rPr>
        <vertAlign val="subscript"/>
        <sz val="11"/>
        <color theme="1"/>
        <rFont val="Calibri"/>
        <family val="2"/>
        <scheme val="minor"/>
      </rPr>
      <t>x1</t>
    </r>
  </si>
  <si>
    <r>
      <t>n</t>
    </r>
    <r>
      <rPr>
        <vertAlign val="subscript"/>
        <sz val="11"/>
        <color theme="1"/>
        <rFont val="Calibri"/>
        <family val="2"/>
        <scheme val="minor"/>
      </rPr>
      <t>y1</t>
    </r>
  </si>
  <si>
    <r>
      <t>t</t>
    </r>
    <r>
      <rPr>
        <vertAlign val="subscript"/>
        <sz val="11"/>
        <color theme="1"/>
        <rFont val="Calibri"/>
        <family val="2"/>
        <scheme val="minor"/>
      </rPr>
      <t>x</t>
    </r>
  </si>
  <si>
    <r>
      <t>t</t>
    </r>
    <r>
      <rPr>
        <vertAlign val="subscript"/>
        <sz val="11"/>
        <color theme="1"/>
        <rFont val="Calibri"/>
        <family val="2"/>
        <scheme val="minor"/>
      </rPr>
      <t>y</t>
    </r>
  </si>
  <si>
    <r>
      <t>m</t>
    </r>
    <r>
      <rPr>
        <vertAlign val="subscript"/>
        <sz val="11"/>
        <color theme="1"/>
        <rFont val="Calibri"/>
        <family val="2"/>
        <scheme val="minor"/>
      </rPr>
      <t>x1</t>
    </r>
  </si>
  <si>
    <r>
      <t>m</t>
    </r>
    <r>
      <rPr>
        <vertAlign val="subscript"/>
        <sz val="11"/>
        <color theme="1"/>
        <rFont val="Calibri"/>
        <family val="2"/>
        <scheme val="minor"/>
      </rPr>
      <t>y1</t>
    </r>
  </si>
  <si>
    <r>
      <t>N</t>
    </r>
    <r>
      <rPr>
        <vertAlign val="subscript"/>
        <sz val="11"/>
        <color theme="1"/>
        <rFont val="Calibri"/>
        <family val="2"/>
        <scheme val="minor"/>
      </rPr>
      <t>01</t>
    </r>
  </si>
  <si>
    <r>
      <t>S</t>
    </r>
    <r>
      <rPr>
        <vertAlign val="subscript"/>
        <sz val="11"/>
        <color theme="1"/>
        <rFont val="Calibri"/>
        <family val="2"/>
        <scheme val="minor"/>
      </rPr>
      <t>01</t>
    </r>
  </si>
  <si>
    <r>
      <t>δN</t>
    </r>
    <r>
      <rPr>
        <vertAlign val="subscript"/>
        <sz val="11"/>
        <color theme="1"/>
        <rFont val="Calibri"/>
        <family val="2"/>
        <scheme val="minor"/>
      </rPr>
      <t>01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</si>
  <si>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01</t>
    </r>
  </si>
  <si>
    <r>
      <t>S</t>
    </r>
    <r>
      <rPr>
        <vertAlign val="subscript"/>
        <sz val="11"/>
        <color theme="1"/>
        <rFont val="Calibri"/>
        <family val="2"/>
        <scheme val="minor"/>
      </rPr>
      <t>01restricted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</si>
  <si>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01restricted</t>
    </r>
  </si>
  <si>
    <r>
      <t>θ</t>
    </r>
    <r>
      <rPr>
        <vertAlign val="subscript"/>
        <sz val="11"/>
        <color theme="1"/>
        <rFont val="Calibri"/>
        <family val="2"/>
        <scheme val="minor"/>
      </rPr>
      <t>l</t>
    </r>
  </si>
  <si>
    <r>
      <t>E</t>
    </r>
    <r>
      <rPr>
        <vertAlign val="subscript"/>
        <sz val="11"/>
        <color theme="1"/>
        <rFont val="Calibri"/>
        <family val="2"/>
        <scheme val="minor"/>
      </rPr>
      <t>l</t>
    </r>
  </si>
  <si>
    <r>
      <t>r</t>
    </r>
    <r>
      <rPr>
        <vertAlign val="subscript"/>
        <sz val="11"/>
        <color theme="1"/>
        <rFont val="Calibri"/>
        <family val="2"/>
        <scheme val="minor"/>
      </rPr>
      <t>l</t>
    </r>
  </si>
  <si>
    <r>
      <t>x</t>
    </r>
    <r>
      <rPr>
        <vertAlign val="subscript"/>
        <sz val="11"/>
        <color theme="1"/>
        <rFont val="Calibri"/>
        <family val="2"/>
        <scheme val="minor"/>
      </rPr>
      <t>l</t>
    </r>
  </si>
  <si>
    <r>
      <t>y</t>
    </r>
    <r>
      <rPr>
        <vertAlign val="subscript"/>
        <sz val="11"/>
        <color theme="1"/>
        <rFont val="Calibri"/>
        <family val="2"/>
        <scheme val="minor"/>
      </rPr>
      <t>l</t>
    </r>
  </si>
  <si>
    <r>
      <t>r</t>
    </r>
    <r>
      <rPr>
        <vertAlign val="subscript"/>
        <sz val="11"/>
        <color theme="1"/>
        <rFont val="Calibri"/>
        <family val="2"/>
        <scheme val="minor"/>
      </rPr>
      <t>lc</t>
    </r>
  </si>
  <si>
    <r>
      <t>θ</t>
    </r>
    <r>
      <rPr>
        <vertAlign val="subscript"/>
        <sz val="11"/>
        <color theme="1"/>
        <rFont val="Calibri"/>
        <family val="2"/>
        <scheme val="minor"/>
      </rPr>
      <t>lc</t>
    </r>
  </si>
  <si>
    <r>
      <t>δE</t>
    </r>
    <r>
      <rPr>
        <vertAlign val="subscript"/>
        <sz val="11"/>
        <color theme="1"/>
        <rFont val="Calibri"/>
        <family val="2"/>
        <scheme val="minor"/>
      </rPr>
      <t>l</t>
    </r>
  </si>
  <si>
    <r>
      <t>n</t>
    </r>
    <r>
      <rPr>
        <vertAlign val="subscript"/>
        <sz val="11"/>
        <color theme="1"/>
        <rFont val="Calibri"/>
        <family val="2"/>
        <scheme val="minor"/>
      </rPr>
      <t>x2</t>
    </r>
  </si>
  <si>
    <r>
      <t>n</t>
    </r>
    <r>
      <rPr>
        <vertAlign val="subscript"/>
        <sz val="11"/>
        <color theme="1"/>
        <rFont val="Calibri"/>
        <family val="2"/>
        <scheme val="minor"/>
      </rPr>
      <t>y2</t>
    </r>
  </si>
  <si>
    <r>
      <t>m</t>
    </r>
    <r>
      <rPr>
        <vertAlign val="subscript"/>
        <sz val="11"/>
        <color theme="1"/>
        <rFont val="Calibri"/>
        <family val="2"/>
        <scheme val="minor"/>
      </rPr>
      <t>x2</t>
    </r>
  </si>
  <si>
    <r>
      <t>m</t>
    </r>
    <r>
      <rPr>
        <vertAlign val="subscript"/>
        <sz val="11"/>
        <color theme="1"/>
        <rFont val="Calibri"/>
        <family val="2"/>
        <scheme val="minor"/>
      </rPr>
      <t>y2</t>
    </r>
  </si>
  <si>
    <r>
      <t>N</t>
    </r>
    <r>
      <rPr>
        <vertAlign val="subscript"/>
        <sz val="11"/>
        <color theme="1"/>
        <rFont val="Calibri"/>
        <family val="2"/>
        <scheme val="minor"/>
      </rPr>
      <t>02</t>
    </r>
  </si>
  <si>
    <r>
      <t>S</t>
    </r>
    <r>
      <rPr>
        <vertAlign val="subscript"/>
        <sz val="11"/>
        <color theme="1"/>
        <rFont val="Calibri"/>
        <family val="2"/>
        <scheme val="minor"/>
      </rPr>
      <t>02</t>
    </r>
  </si>
  <si>
    <r>
      <t>S</t>
    </r>
    <r>
      <rPr>
        <vertAlign val="subscript"/>
        <sz val="11"/>
        <color theme="1"/>
        <rFont val="Calibri"/>
        <family val="2"/>
        <scheme val="minor"/>
      </rPr>
      <t>02restricted</t>
    </r>
  </si>
  <si>
    <r>
      <t>δN</t>
    </r>
    <r>
      <rPr>
        <vertAlign val="subscript"/>
        <sz val="11"/>
        <color theme="1"/>
        <rFont val="Calibri"/>
        <family val="2"/>
        <scheme val="minor"/>
      </rPr>
      <t>02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</si>
  <si>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02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</si>
  <si>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02restricted</t>
    </r>
  </si>
  <si>
    <t>B1</t>
  </si>
  <si>
    <t>X1</t>
  </si>
  <si>
    <t>FS</t>
  </si>
  <si>
    <t>A2</t>
  </si>
  <si>
    <t>B2</t>
  </si>
  <si>
    <t>X2</t>
  </si>
  <si>
    <t>N1</t>
  </si>
  <si>
    <t>N2</t>
  </si>
  <si>
    <t>Pl</t>
  </si>
  <si>
    <t>A3</t>
  </si>
  <si>
    <t>B3</t>
  </si>
  <si>
    <t>X3</t>
  </si>
  <si>
    <t>S2</t>
  </si>
  <si>
    <t>Excavation</t>
  </si>
  <si>
    <t xml:space="preserve">unit weight </t>
  </si>
  <si>
    <t>coehesion</t>
  </si>
  <si>
    <t>friction angle</t>
  </si>
  <si>
    <t>dilatancy or roughness</t>
  </si>
  <si>
    <t>tensile strength</t>
  </si>
  <si>
    <t>Shear/normal stifness</t>
  </si>
  <si>
    <t>depth of excavation</t>
  </si>
  <si>
    <t>vertical stress</t>
  </si>
  <si>
    <t>horizontal/vertical stress ratio</t>
  </si>
  <si>
    <t>excavatio ratio</t>
  </si>
  <si>
    <t>right joint angle from vertical axis</t>
  </si>
  <si>
    <t>left joint angle from vertical axis</t>
  </si>
  <si>
    <t>auto calculate</t>
  </si>
  <si>
    <t xml:space="preserve">height of max removable wedge </t>
  </si>
  <si>
    <t>0 skip, 1 apply constrains</t>
  </si>
  <si>
    <t>wedge height from tunnel crown</t>
  </si>
  <si>
    <t>right angle of wedge-tunnel intersection</t>
  </si>
  <si>
    <t>left angle of wedge-tunnel intersection</t>
  </si>
  <si>
    <t>weight of falling wedge</t>
  </si>
  <si>
    <t>right joint surface</t>
  </si>
  <si>
    <t>left joint surface</t>
  </si>
  <si>
    <t>Right joint Surface</t>
  </si>
  <si>
    <t>Discretize joint</t>
  </si>
  <si>
    <t>Polar Stress Tensor</t>
  </si>
  <si>
    <t>Global stress tensor</t>
  </si>
  <si>
    <t>Tractions</t>
  </si>
  <si>
    <t>Normal force</t>
  </si>
  <si>
    <t>Shear force</t>
  </si>
  <si>
    <t>Restrictions</t>
  </si>
  <si>
    <t>Left joint Surface</t>
  </si>
  <si>
    <t>polar angle 0-2π</t>
  </si>
  <si>
    <t>circular surface x coordinates</t>
  </si>
  <si>
    <t>circular surface y coordinates</t>
  </si>
  <si>
    <t>Joint polar angle</t>
  </si>
  <si>
    <t>Joint surface</t>
  </si>
  <si>
    <t>Joint polar distance</t>
  </si>
  <si>
    <t>joint x coordinates</t>
  </si>
  <si>
    <t>joint y coordinates</t>
  </si>
  <si>
    <t>angle of element center</t>
  </si>
  <si>
    <t>distance of element center</t>
  </si>
  <si>
    <t>element size</t>
  </si>
  <si>
    <t>radial</t>
  </si>
  <si>
    <t>tagential</t>
  </si>
  <si>
    <t>shear</t>
  </si>
  <si>
    <t>horizontal</t>
  </si>
  <si>
    <t>vertical</t>
  </si>
  <si>
    <t>check if exeed strength</t>
  </si>
  <si>
    <t>normal vector</t>
  </si>
  <si>
    <t>shear vector</t>
  </si>
  <si>
    <t>Restricted shear</t>
  </si>
  <si>
    <t>check if exceed strength</t>
  </si>
  <si>
    <t>Horizontal restrain force</t>
  </si>
  <si>
    <t>Normal relaxed force on right joint</t>
  </si>
  <si>
    <t>Normal relaxed force on left joint</t>
  </si>
  <si>
    <t>Pull out force</t>
  </si>
  <si>
    <t>Safety factor (Brady Brown method)</t>
  </si>
  <si>
    <t>Bold grey</t>
  </si>
  <si>
    <t>Black</t>
  </si>
  <si>
    <t>define</t>
  </si>
  <si>
    <t>shear right disp</t>
  </si>
  <si>
    <t>norm right disp</t>
  </si>
  <si>
    <t>shear left disp</t>
  </si>
  <si>
    <t>norm left disp</t>
  </si>
  <si>
    <t>wedge move vector</t>
  </si>
  <si>
    <t>(check if is possible)</t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</si>
  <si>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</si>
  <si>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t>u</t>
    </r>
    <r>
      <rPr>
        <vertAlign val="subscript"/>
        <sz val="11"/>
        <color theme="1"/>
        <rFont val="Calibri"/>
        <family val="2"/>
        <scheme val="minor"/>
      </rPr>
      <t>l</t>
    </r>
  </si>
  <si>
    <r>
      <t>u</t>
    </r>
    <r>
      <rPr>
        <vertAlign val="subscript"/>
        <sz val="11"/>
        <color theme="1"/>
        <rFont val="Calibri"/>
        <family val="2"/>
        <scheme val="minor"/>
      </rPr>
      <t>rx</t>
    </r>
  </si>
  <si>
    <r>
      <t>u</t>
    </r>
    <r>
      <rPr>
        <vertAlign val="subscript"/>
        <sz val="11"/>
        <color theme="1"/>
        <rFont val="Calibri"/>
        <family val="2"/>
        <scheme val="minor"/>
      </rPr>
      <t>ry</t>
    </r>
  </si>
  <si>
    <r>
      <t>u</t>
    </r>
    <r>
      <rPr>
        <vertAlign val="subscript"/>
        <sz val="11"/>
        <color theme="1"/>
        <rFont val="Calibri"/>
        <family val="2"/>
        <scheme val="minor"/>
      </rPr>
      <t>lx</t>
    </r>
  </si>
  <si>
    <r>
      <t>u</t>
    </r>
    <r>
      <rPr>
        <vertAlign val="subscript"/>
        <sz val="11"/>
        <color theme="1"/>
        <rFont val="Calibri"/>
        <family val="2"/>
        <scheme val="minor"/>
      </rPr>
      <t>ly</t>
    </r>
  </si>
  <si>
    <r>
      <t>a) u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charset val="161"/>
        <scheme val="minor"/>
      </rPr>
      <t>=u</t>
    </r>
    <r>
      <rPr>
        <vertAlign val="subscript"/>
        <sz val="11"/>
        <color theme="1"/>
        <rFont val="Calibri"/>
        <family val="2"/>
        <scheme val="minor"/>
      </rPr>
      <t>l</t>
    </r>
  </si>
  <si>
    <r>
      <t>b) u</t>
    </r>
    <r>
      <rPr>
        <vertAlign val="subscript"/>
        <sz val="11"/>
        <color theme="1"/>
        <rFont val="Calibri"/>
        <family val="2"/>
        <scheme val="minor"/>
      </rPr>
      <t>rx</t>
    </r>
    <r>
      <rPr>
        <sz val="11"/>
        <color theme="1"/>
        <rFont val="Calibri"/>
        <family val="2"/>
        <charset val="161"/>
        <scheme val="minor"/>
      </rPr>
      <t>/u</t>
    </r>
    <r>
      <rPr>
        <vertAlign val="subscript"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&lt;tanα</t>
    </r>
    <r>
      <rPr>
        <vertAlign val="subscript"/>
        <sz val="11"/>
        <color theme="1"/>
        <rFont val="Calibri"/>
        <family val="2"/>
        <scheme val="minor"/>
      </rPr>
      <t>1</t>
    </r>
  </si>
  <si>
    <r>
      <t>c) -u</t>
    </r>
    <r>
      <rPr>
        <vertAlign val="subscript"/>
        <sz val="11"/>
        <color theme="1"/>
        <rFont val="Calibri"/>
        <family val="2"/>
        <scheme val="minor"/>
      </rPr>
      <t>rx</t>
    </r>
    <r>
      <rPr>
        <sz val="11"/>
        <color theme="1"/>
        <rFont val="Calibri"/>
        <family val="2"/>
        <charset val="161"/>
        <scheme val="minor"/>
      </rPr>
      <t>/u</t>
    </r>
    <r>
      <rPr>
        <vertAlign val="subscript"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&lt;tanα</t>
    </r>
    <r>
      <rPr>
        <vertAlign val="subscript"/>
        <sz val="11"/>
        <color theme="1"/>
        <rFont val="Calibri"/>
        <family val="2"/>
        <scheme val="minor"/>
      </rPr>
      <t>2</t>
    </r>
  </si>
  <si>
    <t>Force equilibrium in x axis</t>
  </si>
  <si>
    <t>Force equilibrium in y axis</t>
  </si>
  <si>
    <t>Displacement  equilibrium in x axis</t>
  </si>
  <si>
    <t>Displacement  equilibrium in y axis</t>
  </si>
  <si>
    <t>Slide on right joint</t>
  </si>
  <si>
    <t>Initial forces</t>
  </si>
  <si>
    <t>Slide on left joint</t>
  </si>
  <si>
    <t>(keep minimum strength)</t>
  </si>
  <si>
    <t>includes weigth</t>
  </si>
  <si>
    <t>check</t>
  </si>
  <si>
    <t>Pl/W</t>
  </si>
  <si>
    <t>Shear Strength Method (2)</t>
  </si>
  <si>
    <t>Pull out forces method 1</t>
  </si>
  <si>
    <r>
      <t>N</t>
    </r>
    <r>
      <rPr>
        <vertAlign val="subscript"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charset val="161"/>
        <scheme val="minor"/>
      </rPr>
      <t>-(u</t>
    </r>
    <r>
      <rPr>
        <vertAlign val="subscript"/>
        <sz val="11"/>
        <color theme="1"/>
        <rFont val="Calibri"/>
        <family val="2"/>
        <scheme val="minor"/>
      </rPr>
      <t>n1</t>
    </r>
    <r>
      <rPr>
        <sz val="11"/>
        <color theme="1"/>
        <rFont val="Calibri"/>
        <family val="2"/>
        <charset val="161"/>
        <scheme val="minor"/>
      </rPr>
      <t>-u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charset val="161"/>
        <scheme val="minor"/>
      </rPr>
      <t>*TAN(i))</t>
    </r>
  </si>
  <si>
    <r>
      <t>N</t>
    </r>
    <r>
      <rPr>
        <vertAlign val="subscript"/>
        <sz val="11"/>
        <color theme="1"/>
        <rFont val="Calibri"/>
        <family val="2"/>
        <scheme val="minor"/>
      </rPr>
      <t>02</t>
    </r>
    <r>
      <rPr>
        <sz val="11"/>
        <color theme="1"/>
        <rFont val="Calibri"/>
        <family val="2"/>
        <charset val="161"/>
        <scheme val="minor"/>
      </rPr>
      <t>-(u</t>
    </r>
    <r>
      <rPr>
        <vertAlign val="subscript"/>
        <sz val="11"/>
        <color theme="1"/>
        <rFont val="Calibri"/>
        <family val="2"/>
        <scheme val="minor"/>
      </rPr>
      <t>n2</t>
    </r>
    <r>
      <rPr>
        <sz val="11"/>
        <color theme="1"/>
        <rFont val="Calibri"/>
        <family val="2"/>
        <charset val="161"/>
        <scheme val="minor"/>
      </rPr>
      <t>-u</t>
    </r>
    <r>
      <rPr>
        <vertAlign val="subscript"/>
        <sz val="11"/>
        <color theme="1"/>
        <rFont val="Calibri"/>
        <family val="2"/>
        <scheme val="minor"/>
      </rPr>
      <t>s2</t>
    </r>
    <r>
      <rPr>
        <sz val="11"/>
        <color theme="1"/>
        <rFont val="Calibri"/>
        <family val="2"/>
        <charset val="161"/>
        <scheme val="minor"/>
      </rPr>
      <t>*TAN(i))</t>
    </r>
  </si>
  <si>
    <r>
      <t>N</t>
    </r>
    <r>
      <rPr>
        <vertAlign val="subscript"/>
        <sz val="11"/>
        <color theme="1"/>
        <rFont val="Calibri"/>
        <family val="2"/>
        <scheme val="minor"/>
      </rPr>
      <t>1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</si>
  <si>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</si>
  <si>
    <r>
      <t>S</t>
    </r>
    <r>
      <rPr>
        <vertAlign val="subscript"/>
        <sz val="11"/>
        <color theme="1"/>
        <rFont val="Calibri"/>
        <family val="2"/>
        <scheme val="minor"/>
      </rPr>
      <t>1</t>
    </r>
  </si>
  <si>
    <r>
      <t>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</si>
  <si>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r>
      <t>S</t>
    </r>
    <r>
      <rPr>
        <vertAlign val="subscript"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charset val="161"/>
        <scheme val="minor"/>
      </rPr>
      <t>+K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charset val="161"/>
        <scheme val="minor"/>
      </rPr>
      <t>*u</t>
    </r>
    <r>
      <rPr>
        <vertAlign val="subscript"/>
        <sz val="11"/>
        <color theme="1"/>
        <rFont val="Calibri"/>
        <family val="2"/>
        <scheme val="minor"/>
      </rPr>
      <t>s1</t>
    </r>
  </si>
  <si>
    <r>
      <t>S</t>
    </r>
    <r>
      <rPr>
        <vertAlign val="subscript"/>
        <sz val="11"/>
        <color theme="1"/>
        <rFont val="Calibri"/>
        <family val="2"/>
        <scheme val="minor"/>
      </rPr>
      <t>01</t>
    </r>
    <r>
      <rPr>
        <sz val="11"/>
        <color theme="1"/>
        <rFont val="Calibri"/>
        <family val="2"/>
        <charset val="161"/>
        <scheme val="minor"/>
      </rPr>
      <t>+K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charset val="161"/>
        <scheme val="minor"/>
      </rPr>
      <t>*u</t>
    </r>
    <r>
      <rPr>
        <vertAlign val="subscript"/>
        <sz val="11"/>
        <color theme="1"/>
        <rFont val="Calibri"/>
        <family val="2"/>
        <scheme val="minor"/>
      </rPr>
      <t>s2</t>
    </r>
    <r>
      <rPr>
        <sz val="11"/>
        <color theme="1"/>
        <rFont val="Calibri"/>
        <family val="2"/>
        <charset val="161"/>
        <scheme val="minor"/>
      </rPr>
      <t/>
    </r>
  </si>
  <si>
    <r>
      <t>u</t>
    </r>
    <r>
      <rPr>
        <vertAlign val="subscript"/>
        <sz val="11"/>
        <color theme="1"/>
        <rFont val="Calibri"/>
        <family val="2"/>
        <scheme val="minor"/>
      </rPr>
      <t>s1</t>
    </r>
  </si>
  <si>
    <r>
      <t>u</t>
    </r>
    <r>
      <rPr>
        <vertAlign val="subscript"/>
        <sz val="11"/>
        <color theme="1"/>
        <rFont val="Calibri"/>
        <family val="2"/>
        <scheme val="minor"/>
      </rPr>
      <t>n1</t>
    </r>
  </si>
  <si>
    <r>
      <t>u</t>
    </r>
    <r>
      <rPr>
        <vertAlign val="subscript"/>
        <sz val="11"/>
        <color theme="1"/>
        <rFont val="Calibri"/>
        <family val="2"/>
        <scheme val="minor"/>
      </rPr>
      <t>s2</t>
    </r>
  </si>
  <si>
    <r>
      <t>u</t>
    </r>
    <r>
      <rPr>
        <vertAlign val="subscript"/>
        <sz val="11"/>
        <color theme="1"/>
        <rFont val="Calibri"/>
        <family val="2"/>
        <scheme val="minor"/>
      </rPr>
      <t>n2</t>
    </r>
  </si>
  <si>
    <t>Pull out forces method (1)</t>
  </si>
  <si>
    <t>Brady &amp; Brown method</t>
  </si>
  <si>
    <r>
      <t>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charset val="161"/>
        <scheme val="minor"/>
      </rPr>
      <t>/K</t>
    </r>
    <r>
      <rPr>
        <vertAlign val="subscript"/>
        <sz val="11"/>
        <color theme="1"/>
        <rFont val="Calibri"/>
        <family val="2"/>
        <scheme val="minor"/>
      </rPr>
      <t>n</t>
    </r>
  </si>
  <si>
    <t>Sofianos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</si>
  <si>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</si>
  <si>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</si>
  <si>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Pull out force (with dilatancy or roughness)</t>
  </si>
  <si>
    <t>Safety factor (Sofianos)</t>
  </si>
  <si>
    <r>
      <t>δΝ</t>
    </r>
    <r>
      <rPr>
        <vertAlign val="subscript"/>
        <sz val="11"/>
        <color theme="1"/>
        <rFont val="Calibri"/>
        <family val="2"/>
        <scheme val="minor"/>
      </rPr>
      <t>01restricted</t>
    </r>
  </si>
  <si>
    <r>
      <t>Ν</t>
    </r>
    <r>
      <rPr>
        <vertAlign val="subscript"/>
        <sz val="11"/>
        <color theme="1"/>
        <rFont val="Calibri"/>
        <family val="2"/>
        <scheme val="minor"/>
      </rPr>
      <t>01restricted</t>
    </r>
  </si>
  <si>
    <t xml:space="preserve">This work </t>
  </si>
  <si>
    <t>α</t>
  </si>
  <si>
    <r>
      <t>δN</t>
    </r>
    <r>
      <rPr>
        <vertAlign val="subscript"/>
        <sz val="11"/>
        <color theme="1"/>
        <rFont val="Calibri"/>
        <family val="2"/>
        <scheme val="minor"/>
      </rPr>
      <t>02restricted</t>
    </r>
  </si>
  <si>
    <r>
      <t>N</t>
    </r>
    <r>
      <rPr>
        <vertAlign val="subscript"/>
        <sz val="11"/>
        <color theme="1"/>
        <rFont val="Calibri"/>
        <family val="2"/>
        <scheme val="minor"/>
      </rPr>
      <t>02restricted</t>
    </r>
  </si>
  <si>
    <r>
      <t>N</t>
    </r>
    <r>
      <rPr>
        <vertAlign val="subscript"/>
        <sz val="11"/>
        <color theme="1"/>
        <rFont val="Calibri"/>
        <family val="2"/>
        <scheme val="minor"/>
      </rPr>
      <t>01restricted</t>
    </r>
  </si>
  <si>
    <t>Restricted tensile</t>
  </si>
  <si>
    <r>
      <t>δN</t>
    </r>
    <r>
      <rPr>
        <vertAlign val="subscript"/>
        <sz val="11"/>
        <color theme="1"/>
        <rFont val="Calibri"/>
        <family val="2"/>
        <scheme val="minor"/>
      </rPr>
      <t>01restricted</t>
    </r>
  </si>
  <si>
    <r>
      <t>atan(u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charset val="161"/>
        <scheme val="minor"/>
      </rPr>
      <t>/(-u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charset val="161"/>
        <scheme val="minor"/>
      </rPr>
      <t>))</t>
    </r>
  </si>
  <si>
    <r>
      <t>u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charset val="161"/>
        <scheme val="minor"/>
      </rPr>
      <t>=(u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charset val="161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charset val="161"/>
        <scheme val="minor"/>
      </rPr>
      <t>-u</t>
    </r>
    <r>
      <rPr>
        <vertAlign val="subscript"/>
        <sz val="11"/>
        <color theme="1"/>
        <rFont val="Calibri"/>
        <family val="2"/>
        <scheme val="minor"/>
      </rPr>
      <t>n1</t>
    </r>
    <r>
      <rPr>
        <sz val="11"/>
        <color theme="1"/>
        <rFont val="Calibri"/>
        <family val="2"/>
        <charset val="161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charset val="161"/>
        <scheme val="minor"/>
      </rPr>
      <t>)/SQRT(u</t>
    </r>
    <r>
      <rPr>
        <vertAlign val="subscript"/>
        <sz val="11"/>
        <color theme="1"/>
        <rFont val="Calibri"/>
        <family val="2"/>
        <scheme val="minor"/>
      </rPr>
      <t>s1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>+u</t>
    </r>
    <r>
      <rPr>
        <vertAlign val="subscript"/>
        <sz val="11"/>
        <color theme="1"/>
        <rFont val="Calibri"/>
        <family val="2"/>
        <scheme val="minor"/>
      </rPr>
      <t>n1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>)</t>
    </r>
  </si>
  <si>
    <r>
      <t>u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charset val="161"/>
        <scheme val="minor"/>
      </rPr>
      <t>=(u</t>
    </r>
    <r>
      <rPr>
        <vertAlign val="subscript"/>
        <sz val="11"/>
        <color theme="1"/>
        <rFont val="Calibri"/>
        <family val="2"/>
        <scheme val="minor"/>
      </rPr>
      <t>s1</t>
    </r>
    <r>
      <rPr>
        <sz val="11"/>
        <color theme="1"/>
        <rFont val="Calibri"/>
        <family val="2"/>
        <charset val="161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y1</t>
    </r>
    <r>
      <rPr>
        <sz val="11"/>
        <color theme="1"/>
        <rFont val="Calibri"/>
        <family val="2"/>
        <charset val="161"/>
        <scheme val="minor"/>
      </rPr>
      <t>-u</t>
    </r>
    <r>
      <rPr>
        <vertAlign val="subscript"/>
        <sz val="11"/>
        <color theme="1"/>
        <rFont val="Calibri"/>
        <family val="2"/>
        <scheme val="minor"/>
      </rPr>
      <t>n1</t>
    </r>
    <r>
      <rPr>
        <sz val="11"/>
        <color theme="1"/>
        <rFont val="Calibri"/>
        <family val="2"/>
        <charset val="161"/>
        <scheme val="minor"/>
      </rPr>
      <t>*n</t>
    </r>
    <r>
      <rPr>
        <vertAlign val="subscript"/>
        <sz val="11"/>
        <color theme="1"/>
        <rFont val="Calibri"/>
        <family val="2"/>
        <scheme val="minor"/>
      </rPr>
      <t>y1</t>
    </r>
    <r>
      <rPr>
        <sz val="11"/>
        <color theme="1"/>
        <rFont val="Calibri"/>
        <family val="2"/>
        <charset val="161"/>
        <scheme val="minor"/>
      </rPr>
      <t>)/SQRT(u</t>
    </r>
    <r>
      <rPr>
        <vertAlign val="subscript"/>
        <sz val="11"/>
        <color theme="1"/>
        <rFont val="Calibri"/>
        <family val="2"/>
        <scheme val="minor"/>
      </rPr>
      <t>s1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>+u</t>
    </r>
    <r>
      <rPr>
        <vertAlign val="subscript"/>
        <sz val="11"/>
        <color theme="1"/>
        <rFont val="Calibri"/>
        <family val="2"/>
        <scheme val="minor"/>
      </rPr>
      <t>n1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>)</t>
    </r>
  </si>
  <si>
    <r>
      <t>check if -α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>&lt;α&lt;α</t>
    </r>
    <r>
      <rPr>
        <vertAlign val="subscript"/>
        <sz val="11"/>
        <color theme="1"/>
        <rFont val="Calibri"/>
        <family val="2"/>
        <scheme val="minor"/>
      </rPr>
      <t>1</t>
    </r>
  </si>
  <si>
    <t>ΒΒ</t>
  </si>
  <si>
    <t>Μ1</t>
  </si>
  <si>
    <t>Μ2</t>
  </si>
  <si>
    <t>ks</t>
  </si>
  <si>
    <t>max wedge</t>
  </si>
  <si>
    <t>Μ1-</t>
  </si>
  <si>
    <t>M1</t>
  </si>
  <si>
    <t>ρ12</t>
  </si>
  <si>
    <r>
      <t>α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</si>
  <si>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θ0</t>
  </si>
  <si>
    <t>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</si>
  <si>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</si>
  <si>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v</t>
  </si>
  <si>
    <r>
      <t>σ</t>
    </r>
    <r>
      <rPr>
        <vertAlign val="subscript"/>
        <sz val="11"/>
        <color theme="1"/>
        <rFont val="Calibri"/>
        <family val="2"/>
        <scheme val="minor"/>
      </rPr>
      <t>zz</t>
    </r>
  </si>
  <si>
    <r>
      <t>σ</t>
    </r>
    <r>
      <rPr>
        <vertAlign val="subscript"/>
        <sz val="11"/>
        <color theme="1"/>
        <rFont val="Calibri"/>
        <family val="2"/>
        <scheme val="minor"/>
      </rPr>
      <t>xz</t>
    </r>
  </si>
  <si>
    <r>
      <t>n</t>
    </r>
    <r>
      <rPr>
        <vertAlign val="subscript"/>
        <sz val="11"/>
        <color theme="1"/>
        <rFont val="Calibri"/>
        <family val="2"/>
        <scheme val="minor"/>
      </rPr>
      <t>xa</t>
    </r>
  </si>
  <si>
    <r>
      <t>n</t>
    </r>
    <r>
      <rPr>
        <vertAlign val="subscript"/>
        <sz val="11"/>
        <color theme="1"/>
        <rFont val="Calibri"/>
        <family val="2"/>
        <scheme val="minor"/>
      </rPr>
      <t>ya</t>
    </r>
  </si>
  <si>
    <r>
      <t>m</t>
    </r>
    <r>
      <rPr>
        <vertAlign val="subscript"/>
        <sz val="11"/>
        <color theme="1"/>
        <rFont val="Calibri"/>
        <family val="2"/>
        <scheme val="minor"/>
      </rPr>
      <t>xa</t>
    </r>
  </si>
  <si>
    <r>
      <t>m</t>
    </r>
    <r>
      <rPr>
        <vertAlign val="subscript"/>
        <sz val="11"/>
        <color theme="1"/>
        <rFont val="Calibri"/>
        <family val="2"/>
        <scheme val="minor"/>
      </rPr>
      <t>ya</t>
    </r>
  </si>
  <si>
    <r>
      <t>dip</t>
    </r>
    <r>
      <rPr>
        <vertAlign val="subscript"/>
        <sz val="11"/>
        <color theme="1"/>
        <rFont val="Calibri"/>
        <family val="2"/>
        <scheme val="minor"/>
      </rPr>
      <t>a</t>
    </r>
  </si>
  <si>
    <r>
      <t>dir</t>
    </r>
    <r>
      <rPr>
        <vertAlign val="subscript"/>
        <sz val="11"/>
        <color theme="1"/>
        <rFont val="Calibri"/>
        <family val="2"/>
        <scheme val="minor"/>
      </rPr>
      <t>a</t>
    </r>
  </si>
  <si>
    <r>
      <t>n</t>
    </r>
    <r>
      <rPr>
        <vertAlign val="subscript"/>
        <sz val="11"/>
        <color theme="1"/>
        <rFont val="Calibri"/>
        <family val="2"/>
        <scheme val="minor"/>
      </rPr>
      <t>za</t>
    </r>
  </si>
  <si>
    <r>
      <t>m</t>
    </r>
    <r>
      <rPr>
        <vertAlign val="subscript"/>
        <sz val="11"/>
        <color theme="1"/>
        <rFont val="Calibri"/>
        <family val="2"/>
        <scheme val="minor"/>
      </rPr>
      <t>za</t>
    </r>
  </si>
  <si>
    <r>
      <t>k</t>
    </r>
    <r>
      <rPr>
        <vertAlign val="subscript"/>
        <sz val="11"/>
        <color theme="1"/>
        <rFont val="Calibri"/>
        <family val="2"/>
        <scheme val="minor"/>
      </rPr>
      <t>xa</t>
    </r>
  </si>
  <si>
    <r>
      <t>k</t>
    </r>
    <r>
      <rPr>
        <vertAlign val="subscript"/>
        <sz val="11"/>
        <color theme="1"/>
        <rFont val="Calibri"/>
        <family val="2"/>
        <scheme val="minor"/>
      </rPr>
      <t>ya</t>
    </r>
  </si>
  <si>
    <r>
      <t>k</t>
    </r>
    <r>
      <rPr>
        <vertAlign val="subscript"/>
        <sz val="11"/>
        <color theme="1"/>
        <rFont val="Calibri"/>
        <family val="2"/>
        <scheme val="minor"/>
      </rPr>
      <t>za</t>
    </r>
  </si>
  <si>
    <r>
      <t>t</t>
    </r>
    <r>
      <rPr>
        <vertAlign val="subscript"/>
        <sz val="11"/>
        <color theme="1"/>
        <rFont val="Calibri"/>
        <family val="2"/>
        <scheme val="minor"/>
      </rPr>
      <t>z</t>
    </r>
  </si>
  <si>
    <t>kN</t>
  </si>
  <si>
    <r>
      <t>N</t>
    </r>
    <r>
      <rPr>
        <vertAlign val="subscript"/>
        <sz val="11"/>
        <color theme="1"/>
        <rFont val="Calibri"/>
        <family val="2"/>
        <scheme val="minor"/>
      </rPr>
      <t>0a</t>
    </r>
  </si>
  <si>
    <t>Shear forces</t>
  </si>
  <si>
    <r>
      <t>δS</t>
    </r>
    <r>
      <rPr>
        <vertAlign val="subscript"/>
        <sz val="11"/>
        <color theme="1"/>
        <rFont val="Calibri"/>
        <family val="2"/>
        <scheme val="minor"/>
      </rPr>
      <t>0a</t>
    </r>
  </si>
  <si>
    <r>
      <t>δN</t>
    </r>
    <r>
      <rPr>
        <vertAlign val="subscript"/>
        <sz val="11"/>
        <color theme="1"/>
        <rFont val="Calibri"/>
        <family val="2"/>
        <scheme val="minor"/>
      </rPr>
      <t>0a</t>
    </r>
  </si>
  <si>
    <r>
      <t>δT</t>
    </r>
    <r>
      <rPr>
        <vertAlign val="subscript"/>
        <sz val="11"/>
        <color theme="1"/>
        <rFont val="Calibri"/>
        <family val="2"/>
        <scheme val="minor"/>
      </rPr>
      <t>0a</t>
    </r>
  </si>
  <si>
    <r>
      <t>S</t>
    </r>
    <r>
      <rPr>
        <vertAlign val="subscript"/>
        <sz val="11"/>
        <color theme="1"/>
        <rFont val="Calibri"/>
        <family val="2"/>
        <scheme val="minor"/>
      </rPr>
      <t>0a</t>
    </r>
  </si>
  <si>
    <r>
      <t>T</t>
    </r>
    <r>
      <rPr>
        <vertAlign val="subscript"/>
        <sz val="11"/>
        <color theme="1"/>
        <rFont val="Calibri"/>
        <family val="2"/>
        <scheme val="minor"/>
      </rPr>
      <t>0a</t>
    </r>
  </si>
  <si>
    <r>
      <t>δΝ</t>
    </r>
    <r>
      <rPr>
        <vertAlign val="subscript"/>
        <sz val="11"/>
        <color theme="1"/>
        <rFont val="Calibri"/>
        <family val="2"/>
        <scheme val="minor"/>
      </rPr>
      <t>0ar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</si>
  <si>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0ar</t>
    </r>
  </si>
  <si>
    <r>
      <t>δT</t>
    </r>
    <r>
      <rPr>
        <vertAlign val="subscript"/>
        <sz val="11"/>
        <color theme="1"/>
        <rFont val="Calibri"/>
        <family val="2"/>
        <scheme val="minor"/>
      </rPr>
      <t>0ar</t>
    </r>
  </si>
  <si>
    <r>
      <t>N</t>
    </r>
    <r>
      <rPr>
        <vertAlign val="subscript"/>
        <sz val="11"/>
        <color theme="1"/>
        <rFont val="Calibri"/>
        <family val="2"/>
        <scheme val="minor"/>
      </rPr>
      <t>0ar</t>
    </r>
  </si>
  <si>
    <r>
      <t>S</t>
    </r>
    <r>
      <rPr>
        <vertAlign val="subscript"/>
        <sz val="11"/>
        <color theme="1"/>
        <rFont val="Calibri"/>
        <family val="2"/>
        <scheme val="minor"/>
      </rPr>
      <t>0ar</t>
    </r>
  </si>
  <si>
    <r>
      <t>T</t>
    </r>
    <r>
      <rPr>
        <vertAlign val="subscript"/>
        <sz val="11"/>
        <color theme="1"/>
        <rFont val="Calibri"/>
        <family val="2"/>
        <scheme val="minor"/>
      </rPr>
      <t>0ar</t>
    </r>
  </si>
  <si>
    <r>
      <t>θ</t>
    </r>
    <r>
      <rPr>
        <vertAlign val="subscript"/>
        <sz val="11"/>
        <color theme="1"/>
        <rFont val="Calibri"/>
        <family val="2"/>
        <scheme val="minor"/>
      </rPr>
      <t>ca</t>
    </r>
  </si>
  <si>
    <r>
      <t>r</t>
    </r>
    <r>
      <rPr>
        <vertAlign val="subscript"/>
        <sz val="11"/>
        <color theme="1"/>
        <rFont val="Calibri"/>
        <family val="2"/>
        <scheme val="minor"/>
      </rPr>
      <t>ca</t>
    </r>
  </si>
  <si>
    <r>
      <t>δE</t>
    </r>
    <r>
      <rPr>
        <vertAlign val="subscript"/>
        <sz val="11"/>
        <color theme="1"/>
        <rFont val="Calibri"/>
        <family val="2"/>
        <scheme val="minor"/>
      </rPr>
      <t>a</t>
    </r>
  </si>
  <si>
    <r>
      <t>θ</t>
    </r>
    <r>
      <rPr>
        <vertAlign val="subscript"/>
        <sz val="11"/>
        <color theme="1"/>
        <rFont val="Calibri"/>
        <family val="2"/>
        <scheme val="minor"/>
      </rPr>
      <t>cb</t>
    </r>
  </si>
  <si>
    <r>
      <t>r</t>
    </r>
    <r>
      <rPr>
        <vertAlign val="subscript"/>
        <sz val="11"/>
        <color theme="1"/>
        <rFont val="Calibri"/>
        <family val="2"/>
        <scheme val="minor"/>
      </rPr>
      <t>cb</t>
    </r>
  </si>
  <si>
    <r>
      <t>δE</t>
    </r>
    <r>
      <rPr>
        <vertAlign val="subscript"/>
        <sz val="11"/>
        <color theme="1"/>
        <rFont val="Calibri"/>
        <family val="2"/>
        <scheme val="minor"/>
      </rPr>
      <t>b</t>
    </r>
  </si>
  <si>
    <r>
      <t>dip</t>
    </r>
    <r>
      <rPr>
        <vertAlign val="subscript"/>
        <sz val="11"/>
        <color theme="1"/>
        <rFont val="Calibri"/>
        <family val="2"/>
        <scheme val="minor"/>
      </rPr>
      <t>b</t>
    </r>
  </si>
  <si>
    <r>
      <t>dir</t>
    </r>
    <r>
      <rPr>
        <vertAlign val="subscript"/>
        <sz val="11"/>
        <color theme="1"/>
        <rFont val="Calibri"/>
        <family val="2"/>
        <scheme val="minor"/>
      </rPr>
      <t>b</t>
    </r>
  </si>
  <si>
    <r>
      <t>n</t>
    </r>
    <r>
      <rPr>
        <vertAlign val="subscript"/>
        <sz val="11"/>
        <color theme="1"/>
        <rFont val="Calibri"/>
        <family val="2"/>
        <scheme val="minor"/>
      </rPr>
      <t>xb</t>
    </r>
  </si>
  <si>
    <r>
      <t>n</t>
    </r>
    <r>
      <rPr>
        <vertAlign val="subscript"/>
        <sz val="11"/>
        <color theme="1"/>
        <rFont val="Calibri"/>
        <family val="2"/>
        <scheme val="minor"/>
      </rPr>
      <t>yb</t>
    </r>
  </si>
  <si>
    <r>
      <t>n</t>
    </r>
    <r>
      <rPr>
        <vertAlign val="subscript"/>
        <sz val="11"/>
        <color theme="1"/>
        <rFont val="Calibri"/>
        <family val="2"/>
        <scheme val="minor"/>
      </rPr>
      <t>zb</t>
    </r>
  </si>
  <si>
    <r>
      <t>m</t>
    </r>
    <r>
      <rPr>
        <vertAlign val="subscript"/>
        <sz val="11"/>
        <color theme="1"/>
        <rFont val="Calibri"/>
        <family val="2"/>
        <scheme val="minor"/>
      </rPr>
      <t>xb</t>
    </r>
  </si>
  <si>
    <r>
      <t>m</t>
    </r>
    <r>
      <rPr>
        <vertAlign val="subscript"/>
        <sz val="11"/>
        <color theme="1"/>
        <rFont val="Calibri"/>
        <family val="2"/>
        <scheme val="minor"/>
      </rPr>
      <t>yb</t>
    </r>
  </si>
  <si>
    <r>
      <t>m</t>
    </r>
    <r>
      <rPr>
        <vertAlign val="subscript"/>
        <sz val="11"/>
        <color theme="1"/>
        <rFont val="Calibri"/>
        <family val="2"/>
        <scheme val="minor"/>
      </rPr>
      <t>zb</t>
    </r>
  </si>
  <si>
    <r>
      <t>k</t>
    </r>
    <r>
      <rPr>
        <vertAlign val="subscript"/>
        <sz val="11"/>
        <color theme="1"/>
        <rFont val="Calibri"/>
        <family val="2"/>
        <scheme val="minor"/>
      </rPr>
      <t>xb</t>
    </r>
  </si>
  <si>
    <r>
      <t>k</t>
    </r>
    <r>
      <rPr>
        <vertAlign val="subscript"/>
        <sz val="11"/>
        <color theme="1"/>
        <rFont val="Calibri"/>
        <family val="2"/>
        <scheme val="minor"/>
      </rPr>
      <t>yb</t>
    </r>
  </si>
  <si>
    <r>
      <t>k</t>
    </r>
    <r>
      <rPr>
        <vertAlign val="subscript"/>
        <sz val="11"/>
        <color theme="1"/>
        <rFont val="Calibri"/>
        <family val="2"/>
        <scheme val="minor"/>
      </rPr>
      <t>zb</t>
    </r>
  </si>
  <si>
    <r>
      <t>δN</t>
    </r>
    <r>
      <rPr>
        <vertAlign val="subscript"/>
        <sz val="11"/>
        <color theme="1"/>
        <rFont val="Calibri"/>
        <family val="2"/>
        <scheme val="minor"/>
      </rPr>
      <t>0b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</si>
  <si>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0b</t>
    </r>
  </si>
  <si>
    <r>
      <t>δT</t>
    </r>
    <r>
      <rPr>
        <vertAlign val="subscript"/>
        <sz val="11"/>
        <color theme="1"/>
        <rFont val="Calibri"/>
        <family val="2"/>
        <scheme val="minor"/>
      </rPr>
      <t>0b</t>
    </r>
  </si>
  <si>
    <r>
      <t>δΝ</t>
    </r>
    <r>
      <rPr>
        <vertAlign val="subscript"/>
        <sz val="11"/>
        <color theme="1"/>
        <rFont val="Calibri"/>
        <family val="2"/>
        <scheme val="minor"/>
      </rPr>
      <t>0br</t>
    </r>
  </si>
  <si>
    <r>
      <t>δS</t>
    </r>
    <r>
      <rPr>
        <vertAlign val="subscript"/>
        <sz val="11"/>
        <color theme="1"/>
        <rFont val="Calibri"/>
        <family val="2"/>
        <scheme val="minor"/>
      </rPr>
      <t>0br</t>
    </r>
  </si>
  <si>
    <r>
      <t>δT</t>
    </r>
    <r>
      <rPr>
        <vertAlign val="subscript"/>
        <sz val="11"/>
        <color theme="1"/>
        <rFont val="Calibri"/>
        <family val="2"/>
        <scheme val="minor"/>
      </rPr>
      <t>0br</t>
    </r>
  </si>
  <si>
    <r>
      <t>θ</t>
    </r>
    <r>
      <rPr>
        <vertAlign val="subscript"/>
        <sz val="11"/>
        <color theme="1"/>
        <rFont val="Calibri"/>
        <family val="2"/>
        <scheme val="minor"/>
      </rPr>
      <t>cc</t>
    </r>
  </si>
  <si>
    <r>
      <t>r</t>
    </r>
    <r>
      <rPr>
        <vertAlign val="subscript"/>
        <sz val="11"/>
        <color theme="1"/>
        <rFont val="Calibri"/>
        <family val="2"/>
        <scheme val="minor"/>
      </rPr>
      <t>cc</t>
    </r>
  </si>
  <si>
    <r>
      <t>δE</t>
    </r>
    <r>
      <rPr>
        <vertAlign val="subscript"/>
        <sz val="11"/>
        <color theme="1"/>
        <rFont val="Calibri"/>
        <family val="2"/>
        <scheme val="minor"/>
      </rPr>
      <t>c</t>
    </r>
  </si>
  <si>
    <r>
      <t>N</t>
    </r>
    <r>
      <rPr>
        <vertAlign val="subscript"/>
        <sz val="11"/>
        <color theme="1"/>
        <rFont val="Calibri"/>
        <family val="2"/>
        <scheme val="minor"/>
      </rPr>
      <t>0b</t>
    </r>
  </si>
  <si>
    <r>
      <t>S</t>
    </r>
    <r>
      <rPr>
        <vertAlign val="subscript"/>
        <sz val="11"/>
        <color theme="1"/>
        <rFont val="Calibri"/>
        <family val="2"/>
        <scheme val="minor"/>
      </rPr>
      <t>0b</t>
    </r>
  </si>
  <si>
    <r>
      <t>T</t>
    </r>
    <r>
      <rPr>
        <vertAlign val="subscript"/>
        <sz val="11"/>
        <color theme="1"/>
        <rFont val="Calibri"/>
        <family val="2"/>
        <scheme val="minor"/>
      </rPr>
      <t>0b</t>
    </r>
  </si>
  <si>
    <r>
      <t>N</t>
    </r>
    <r>
      <rPr>
        <vertAlign val="subscript"/>
        <sz val="11"/>
        <color theme="1"/>
        <rFont val="Calibri"/>
        <family val="2"/>
        <scheme val="minor"/>
      </rPr>
      <t>0br</t>
    </r>
  </si>
  <si>
    <r>
      <t>S</t>
    </r>
    <r>
      <rPr>
        <vertAlign val="subscript"/>
        <sz val="11"/>
        <color theme="1"/>
        <rFont val="Calibri"/>
        <family val="2"/>
        <scheme val="minor"/>
      </rPr>
      <t>0br</t>
    </r>
  </si>
  <si>
    <r>
      <t>T</t>
    </r>
    <r>
      <rPr>
        <vertAlign val="subscript"/>
        <sz val="11"/>
        <color theme="1"/>
        <rFont val="Calibri"/>
        <family val="2"/>
        <scheme val="minor"/>
      </rPr>
      <t>0br</t>
    </r>
  </si>
  <si>
    <r>
      <t>dip</t>
    </r>
    <r>
      <rPr>
        <vertAlign val="subscript"/>
        <sz val="11"/>
        <color theme="1"/>
        <rFont val="Calibri"/>
        <family val="2"/>
        <scheme val="minor"/>
      </rPr>
      <t>c</t>
    </r>
  </si>
  <si>
    <r>
      <t>dir</t>
    </r>
    <r>
      <rPr>
        <vertAlign val="subscript"/>
        <sz val="11"/>
        <color theme="1"/>
        <rFont val="Calibri"/>
        <family val="2"/>
        <scheme val="minor"/>
      </rPr>
      <t>c</t>
    </r>
  </si>
  <si>
    <r>
      <t>n</t>
    </r>
    <r>
      <rPr>
        <vertAlign val="subscript"/>
        <sz val="11"/>
        <color theme="1"/>
        <rFont val="Calibri"/>
        <family val="2"/>
        <scheme val="minor"/>
      </rPr>
      <t>xc</t>
    </r>
  </si>
  <si>
    <r>
      <t>n</t>
    </r>
    <r>
      <rPr>
        <vertAlign val="subscript"/>
        <sz val="11"/>
        <color theme="1"/>
        <rFont val="Calibri"/>
        <family val="2"/>
        <scheme val="minor"/>
      </rPr>
      <t>yc</t>
    </r>
  </si>
  <si>
    <r>
      <t>n</t>
    </r>
    <r>
      <rPr>
        <vertAlign val="subscript"/>
        <sz val="11"/>
        <color theme="1"/>
        <rFont val="Calibri"/>
        <family val="2"/>
        <scheme val="minor"/>
      </rPr>
      <t>zc</t>
    </r>
  </si>
  <si>
    <r>
      <t>m</t>
    </r>
    <r>
      <rPr>
        <vertAlign val="subscript"/>
        <sz val="11"/>
        <color theme="1"/>
        <rFont val="Calibri"/>
        <family val="2"/>
        <scheme val="minor"/>
      </rPr>
      <t>xc</t>
    </r>
  </si>
  <si>
    <r>
      <t>m</t>
    </r>
    <r>
      <rPr>
        <vertAlign val="subscript"/>
        <sz val="11"/>
        <color theme="1"/>
        <rFont val="Calibri"/>
        <family val="2"/>
        <scheme val="minor"/>
      </rPr>
      <t>yc</t>
    </r>
  </si>
  <si>
    <r>
      <t>m</t>
    </r>
    <r>
      <rPr>
        <vertAlign val="subscript"/>
        <sz val="11"/>
        <color theme="1"/>
        <rFont val="Calibri"/>
        <family val="2"/>
        <scheme val="minor"/>
      </rPr>
      <t>zc</t>
    </r>
  </si>
  <si>
    <r>
      <t>k</t>
    </r>
    <r>
      <rPr>
        <vertAlign val="subscript"/>
        <sz val="11"/>
        <color theme="1"/>
        <rFont val="Calibri"/>
        <family val="2"/>
        <scheme val="minor"/>
      </rPr>
      <t>xc</t>
    </r>
  </si>
  <si>
    <r>
      <t>k</t>
    </r>
    <r>
      <rPr>
        <vertAlign val="subscript"/>
        <sz val="11"/>
        <color theme="1"/>
        <rFont val="Calibri"/>
        <family val="2"/>
        <scheme val="minor"/>
      </rPr>
      <t>yc</t>
    </r>
  </si>
  <si>
    <r>
      <t>k</t>
    </r>
    <r>
      <rPr>
        <vertAlign val="subscript"/>
        <sz val="11"/>
        <color theme="1"/>
        <rFont val="Calibri"/>
        <family val="2"/>
        <scheme val="minor"/>
      </rPr>
      <t>zc</t>
    </r>
  </si>
  <si>
    <r>
      <t>N</t>
    </r>
    <r>
      <rPr>
        <vertAlign val="subscript"/>
        <sz val="11"/>
        <color theme="1"/>
        <rFont val="Calibri"/>
        <family val="2"/>
        <scheme val="minor"/>
      </rPr>
      <t>0c</t>
    </r>
  </si>
  <si>
    <r>
      <t>S</t>
    </r>
    <r>
      <rPr>
        <vertAlign val="subscript"/>
        <sz val="11"/>
        <color theme="1"/>
        <rFont val="Calibri"/>
        <family val="2"/>
        <scheme val="minor"/>
      </rPr>
      <t>0c</t>
    </r>
  </si>
  <si>
    <r>
      <t>T</t>
    </r>
    <r>
      <rPr>
        <vertAlign val="subscript"/>
        <sz val="11"/>
        <color theme="1"/>
        <rFont val="Calibri"/>
        <family val="2"/>
        <scheme val="minor"/>
      </rPr>
      <t>0c</t>
    </r>
  </si>
  <si>
    <r>
      <t>N</t>
    </r>
    <r>
      <rPr>
        <vertAlign val="subscript"/>
        <sz val="11"/>
        <color theme="1"/>
        <rFont val="Calibri"/>
        <family val="2"/>
        <scheme val="minor"/>
      </rPr>
      <t>0cr</t>
    </r>
  </si>
  <si>
    <r>
      <t>S</t>
    </r>
    <r>
      <rPr>
        <vertAlign val="subscript"/>
        <sz val="11"/>
        <color theme="1"/>
        <rFont val="Calibri"/>
        <family val="2"/>
        <scheme val="minor"/>
      </rPr>
      <t>0cr</t>
    </r>
  </si>
  <si>
    <r>
      <t>T</t>
    </r>
    <r>
      <rPr>
        <vertAlign val="subscript"/>
        <sz val="11"/>
        <color theme="1"/>
        <rFont val="Calibri"/>
        <family val="2"/>
        <scheme val="minor"/>
      </rPr>
      <t>0cr</t>
    </r>
  </si>
  <si>
    <r>
      <t>F</t>
    </r>
    <r>
      <rPr>
        <vertAlign val="subscript"/>
        <sz val="11"/>
        <color theme="1"/>
        <rFont val="Calibri"/>
        <family val="2"/>
        <scheme val="minor"/>
      </rPr>
      <t>ta</t>
    </r>
  </si>
  <si>
    <r>
      <t>C</t>
    </r>
    <r>
      <rPr>
        <vertAlign val="subscript"/>
        <sz val="11"/>
        <color theme="1"/>
        <rFont val="Calibri"/>
        <family val="2"/>
        <scheme val="minor"/>
      </rPr>
      <t>a</t>
    </r>
  </si>
  <si>
    <r>
      <t>F</t>
    </r>
    <r>
      <rPr>
        <vertAlign val="subscript"/>
        <sz val="11"/>
        <color theme="1"/>
        <rFont val="Calibri"/>
        <family val="2"/>
        <scheme val="minor"/>
      </rPr>
      <t>tb</t>
    </r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</si>
  <si>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</si>
  <si>
    <r>
      <t>F</t>
    </r>
    <r>
      <rPr>
        <vertAlign val="subscript"/>
        <sz val="11"/>
        <color theme="1"/>
        <rFont val="Calibri"/>
        <family val="2"/>
        <scheme val="minor"/>
      </rPr>
      <t>tc</t>
    </r>
  </si>
  <si>
    <r>
      <t>C</t>
    </r>
    <r>
      <rPr>
        <vertAlign val="subscript"/>
        <sz val="11"/>
        <color theme="1"/>
        <rFont val="Calibri"/>
        <family val="2"/>
        <scheme val="minor"/>
      </rPr>
      <t>c</t>
    </r>
  </si>
  <si>
    <t>ua</t>
  </si>
  <si>
    <t>ub</t>
  </si>
  <si>
    <t>uc</t>
  </si>
  <si>
    <t>V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</si>
  <si>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</si>
  <si>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SF1</t>
  </si>
  <si>
    <t>A4</t>
  </si>
  <si>
    <t>B4</t>
  </si>
  <si>
    <t>X4</t>
  </si>
  <si>
    <t>Na</t>
  </si>
  <si>
    <t>Nb</t>
  </si>
  <si>
    <t>Nc</t>
  </si>
  <si>
    <t>SF2</t>
  </si>
  <si>
    <t>Unwedge</t>
  </si>
  <si>
    <t>This work [1]</t>
  </si>
  <si>
    <t>This work [2]</t>
  </si>
  <si>
    <t>c (kPa)</t>
  </si>
  <si>
    <t>σt (kPa)</t>
  </si>
  <si>
    <t>ψ</t>
  </si>
  <si>
    <t>Ca</t>
  </si>
  <si>
    <t>Fa</t>
  </si>
  <si>
    <t>Fb</t>
  </si>
  <si>
    <t>Cb</t>
  </si>
  <si>
    <t>Brady &amp; Brown[5]</t>
  </si>
  <si>
    <t>Sofianos et al. [6]</t>
  </si>
  <si>
    <t>δEr</t>
  </si>
  <si>
    <t>0 if shear or</t>
  </si>
  <si>
    <t>tensile failure</t>
  </si>
  <si>
    <t>else from K</t>
  </si>
  <si>
    <t>column</t>
  </si>
  <si>
    <t>Kirsch analytic solution</t>
  </si>
  <si>
    <t>global stress tensor</t>
  </si>
  <si>
    <t>else from AG</t>
  </si>
  <si>
    <t>cohesion force</t>
  </si>
  <si>
    <t>Tensile force</t>
  </si>
  <si>
    <t>Strength/shear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</si>
</sst>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0" x14ac:knownFonts="1">
    <font>
      <sz val="11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64" fontId="0" fillId="0" borderId="0" xfId="0" applyNumberFormat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2" fontId="0" fillId="0" borderId="0" xfId="0" applyNumberFormat="1"/>
    <xf numFmtId="2" fontId="5" fillId="0" borderId="5" xfId="0" applyNumberFormat="1" applyFont="1" applyBorder="1" applyAlignment="1">
      <alignment horizontal="center"/>
    </xf>
    <xf numFmtId="166" fontId="0" fillId="0" borderId="0" xfId="0" applyNumberFormat="1"/>
    <xf numFmtId="2" fontId="5" fillId="0" borderId="5" xfId="0" applyNumberFormat="1" applyFont="1" applyBorder="1"/>
    <xf numFmtId="0" fontId="0" fillId="0" borderId="10" xfId="0" applyBorder="1" applyAlignment="1">
      <alignment horizontal="center"/>
    </xf>
    <xf numFmtId="1" fontId="0" fillId="0" borderId="0" xfId="0" applyNumberFormat="1"/>
    <xf numFmtId="1" fontId="4" fillId="0" borderId="0" xfId="0" applyNumberFormat="1" applyFont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0" fillId="2" borderId="18" xfId="0" applyFill="1" applyBorder="1"/>
    <xf numFmtId="0" fontId="0" fillId="2" borderId="15" xfId="0" applyFill="1" applyBorder="1"/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5" fillId="0" borderId="16" xfId="0" applyNumberFormat="1" applyFont="1" applyBorder="1"/>
    <xf numFmtId="0" fontId="0" fillId="0" borderId="20" xfId="0" applyBorder="1"/>
    <xf numFmtId="0" fontId="5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2" borderId="12" xfId="0" applyFill="1" applyBorder="1"/>
    <xf numFmtId="1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4" xfId="0" applyBorder="1" applyAlignment="1">
      <alignment horizontal="center"/>
    </xf>
    <xf numFmtId="2" fontId="5" fillId="0" borderId="0" xfId="0" applyNumberFormat="1" applyFont="1"/>
    <xf numFmtId="166" fontId="5" fillId="0" borderId="0" xfId="0" applyNumberFormat="1" applyFont="1"/>
    <xf numFmtId="2" fontId="4" fillId="0" borderId="8" xfId="0" applyNumberFormat="1" applyFont="1" applyBorder="1"/>
    <xf numFmtId="2" fontId="4" fillId="0" borderId="23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6" xfId="0" applyBorder="1"/>
    <xf numFmtId="0" fontId="0" fillId="0" borderId="4" xfId="0" applyBorder="1"/>
    <xf numFmtId="164" fontId="0" fillId="0" borderId="6" xfId="0" applyNumberFormat="1" applyBorder="1"/>
    <xf numFmtId="0" fontId="7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4" fillId="2" borderId="4" xfId="0" applyFont="1" applyFill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6" fontId="0" fillId="0" borderId="0" xfId="0" applyNumberFormat="1" applyAlignment="1">
      <alignment wrapText="1"/>
    </xf>
    <xf numFmtId="0" fontId="0" fillId="2" borderId="3" xfId="0" applyFill="1" applyBorder="1"/>
    <xf numFmtId="166" fontId="0" fillId="0" borderId="0" xfId="0" applyNumberFormat="1" applyAlignment="1">
      <alignment horizontal="center"/>
    </xf>
    <xf numFmtId="0" fontId="0" fillId="0" borderId="19" xfId="0" applyBorder="1"/>
    <xf numFmtId="164" fontId="0" fillId="0" borderId="8" xfId="0" applyNumberFormat="1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'Prismatic wedge'!$B$24:$B$204</c:f>
              <c:numCache>
                <c:formatCode>0.00</c:formatCode>
                <c:ptCount val="181"/>
                <c:pt idx="0">
                  <c:v>5</c:v>
                </c:pt>
                <c:pt idx="1">
                  <c:v>4.9969541350954785</c:v>
                </c:pt>
                <c:pt idx="2">
                  <c:v>4.9878202512991212</c:v>
                </c:pt>
                <c:pt idx="3">
                  <c:v>4.9726094768413667</c:v>
                </c:pt>
                <c:pt idx="4">
                  <c:v>4.9513403437078516</c:v>
                </c:pt>
                <c:pt idx="5">
                  <c:v>4.9240387650610398</c:v>
                </c:pt>
                <c:pt idx="6">
                  <c:v>4.8907380036690284</c:v>
                </c:pt>
                <c:pt idx="7">
                  <c:v>4.8514786313799823</c:v>
                </c:pt>
                <c:pt idx="8">
                  <c:v>4.8063084796915945</c:v>
                </c:pt>
                <c:pt idx="9">
                  <c:v>4.7552825814757673</c:v>
                </c:pt>
                <c:pt idx="10">
                  <c:v>4.6984631039295426</c:v>
                </c:pt>
                <c:pt idx="11">
                  <c:v>4.6359192728339371</c:v>
                </c:pt>
                <c:pt idx="12">
                  <c:v>4.5677272882130042</c:v>
                </c:pt>
                <c:pt idx="13">
                  <c:v>4.493970231495835</c:v>
                </c:pt>
                <c:pt idx="14">
                  <c:v>4.4147379642946349</c:v>
                </c:pt>
                <c:pt idx="15">
                  <c:v>4.3301270189221936</c:v>
                </c:pt>
                <c:pt idx="16">
                  <c:v>4.2402404807821297</c:v>
                </c:pt>
                <c:pt idx="17">
                  <c:v>4.1451878627752077</c:v>
                </c:pt>
                <c:pt idx="18">
                  <c:v>4.0450849718747364</c:v>
                </c:pt>
                <c:pt idx="19">
                  <c:v>3.9400537680336094</c:v>
                </c:pt>
                <c:pt idx="20">
                  <c:v>3.8302222155948895</c:v>
                </c:pt>
                <c:pt idx="21">
                  <c:v>3.7157241273869706</c:v>
                </c:pt>
                <c:pt idx="22">
                  <c:v>3.596699001693255</c:v>
                </c:pt>
                <c:pt idx="23">
                  <c:v>3.4732918522949854</c:v>
                </c:pt>
                <c:pt idx="24">
                  <c:v>3.3456530317942894</c:v>
                </c:pt>
                <c:pt idx="25">
                  <c:v>3.2139380484326949</c:v>
                </c:pt>
                <c:pt idx="26">
                  <c:v>3.07830737662829</c:v>
                </c:pt>
                <c:pt idx="27">
                  <c:v>2.9389262614623632</c:v>
                </c:pt>
                <c:pt idx="28">
                  <c:v>2.795964517353732</c:v>
                </c:pt>
                <c:pt idx="29">
                  <c:v>2.6495963211660229</c:v>
                </c:pt>
                <c:pt idx="30">
                  <c:v>2.4999999999999973</c:v>
                </c:pt>
                <c:pt idx="31">
                  <c:v>2.3473578139294511</c:v>
                </c:pt>
                <c:pt idx="32">
                  <c:v>2.1918557339453844</c:v>
                </c:pt>
                <c:pt idx="33">
                  <c:v>2.0336832153789981</c:v>
                </c:pt>
                <c:pt idx="34">
                  <c:v>1.8730329670795567</c:v>
                </c:pt>
                <c:pt idx="35">
                  <c:v>1.71010071662834</c:v>
                </c:pt>
                <c:pt idx="36">
                  <c:v>1.545084971874733</c:v>
                </c:pt>
                <c:pt idx="37">
                  <c:v>1.3781867790849915</c:v>
                </c:pt>
                <c:pt idx="38">
                  <c:v>1.2096094779983342</c:v>
                </c:pt>
                <c:pt idx="39">
                  <c:v>1.0395584540887919</c:v>
                </c:pt>
                <c:pt idx="40">
                  <c:v>0.86824088833464663</c:v>
                </c:pt>
                <c:pt idx="41">
                  <c:v>0.69586550480032194</c:v>
                </c:pt>
                <c:pt idx="42">
                  <c:v>0.52264231633826175</c:v>
                </c:pt>
                <c:pt idx="43">
                  <c:v>0.34878236872062063</c:v>
                </c:pt>
                <c:pt idx="44">
                  <c:v>0.17449748351249875</c:v>
                </c:pt>
                <c:pt idx="45">
                  <c:v>-6.3550510340237842E-15</c:v>
                </c:pt>
                <c:pt idx="46">
                  <c:v>-0.17449748351251143</c:v>
                </c:pt>
                <c:pt idx="47">
                  <c:v>-0.34878236872063328</c:v>
                </c:pt>
                <c:pt idx="48">
                  <c:v>-0.5226423163382744</c:v>
                </c:pt>
                <c:pt idx="49">
                  <c:v>-0.69586550480033438</c:v>
                </c:pt>
                <c:pt idx="50">
                  <c:v>-0.86824088833465918</c:v>
                </c:pt>
                <c:pt idx="51">
                  <c:v>-1.0395584540888043</c:v>
                </c:pt>
                <c:pt idx="52">
                  <c:v>-1.2096094779983464</c:v>
                </c:pt>
                <c:pt idx="53">
                  <c:v>-1.378186779085004</c:v>
                </c:pt>
                <c:pt idx="54">
                  <c:v>-1.5450849718747452</c:v>
                </c:pt>
                <c:pt idx="55">
                  <c:v>-1.7101007166283519</c:v>
                </c:pt>
                <c:pt idx="56">
                  <c:v>-1.8730329670795685</c:v>
                </c:pt>
                <c:pt idx="57">
                  <c:v>-2.0336832153790092</c:v>
                </c:pt>
                <c:pt idx="58">
                  <c:v>-2.1918557339453955</c:v>
                </c:pt>
                <c:pt idx="59">
                  <c:v>-2.3473578139294622</c:v>
                </c:pt>
                <c:pt idx="60">
                  <c:v>-2.5000000000000089</c:v>
                </c:pt>
                <c:pt idx="61">
                  <c:v>-2.6495963211660332</c:v>
                </c:pt>
                <c:pt idx="62">
                  <c:v>-2.7959645173537426</c:v>
                </c:pt>
                <c:pt idx="63">
                  <c:v>-2.9389262614623739</c:v>
                </c:pt>
                <c:pt idx="64">
                  <c:v>-3.0783073766282998</c:v>
                </c:pt>
                <c:pt idx="65">
                  <c:v>-3.2139380484327051</c:v>
                </c:pt>
                <c:pt idx="66">
                  <c:v>-3.3456530317942996</c:v>
                </c:pt>
                <c:pt idx="67">
                  <c:v>-3.4732918522949947</c:v>
                </c:pt>
                <c:pt idx="68">
                  <c:v>-3.5966990016932638</c:v>
                </c:pt>
                <c:pt idx="69">
                  <c:v>-3.7157241273869794</c:v>
                </c:pt>
                <c:pt idx="70">
                  <c:v>-3.8302222155948979</c:v>
                </c:pt>
                <c:pt idx="71">
                  <c:v>-3.9400537680336174</c:v>
                </c:pt>
                <c:pt idx="72">
                  <c:v>-4.0450849718747444</c:v>
                </c:pt>
                <c:pt idx="73">
                  <c:v>-4.1451878627752157</c:v>
                </c:pt>
                <c:pt idx="74">
                  <c:v>-4.2402404807821368</c:v>
                </c:pt>
                <c:pt idx="75">
                  <c:v>-4.3301270189221999</c:v>
                </c:pt>
                <c:pt idx="76">
                  <c:v>-4.4147379642946412</c:v>
                </c:pt>
                <c:pt idx="77">
                  <c:v>-4.4939702314958412</c:v>
                </c:pt>
                <c:pt idx="78">
                  <c:v>-4.5677272882130104</c:v>
                </c:pt>
                <c:pt idx="79">
                  <c:v>-4.6359192728339425</c:v>
                </c:pt>
                <c:pt idx="80">
                  <c:v>-4.698463103929547</c:v>
                </c:pt>
                <c:pt idx="81">
                  <c:v>-4.7552825814757727</c:v>
                </c:pt>
                <c:pt idx="82">
                  <c:v>-4.806308479691598</c:v>
                </c:pt>
                <c:pt idx="83">
                  <c:v>-4.8514786313799867</c:v>
                </c:pt>
                <c:pt idx="84">
                  <c:v>-4.8907380036690311</c:v>
                </c:pt>
                <c:pt idx="85">
                  <c:v>-4.9240387650610433</c:v>
                </c:pt>
                <c:pt idx="86">
                  <c:v>-4.9513403437078543</c:v>
                </c:pt>
                <c:pt idx="87">
                  <c:v>-4.9726094768413684</c:v>
                </c:pt>
                <c:pt idx="88">
                  <c:v>-4.987820251299123</c:v>
                </c:pt>
                <c:pt idx="89">
                  <c:v>-4.9969541350954794</c:v>
                </c:pt>
                <c:pt idx="90">
                  <c:v>-5</c:v>
                </c:pt>
                <c:pt idx="91">
                  <c:v>-4.9969541350954785</c:v>
                </c:pt>
                <c:pt idx="92">
                  <c:v>-4.9878202512991194</c:v>
                </c:pt>
                <c:pt idx="93">
                  <c:v>-4.9726094768413649</c:v>
                </c:pt>
                <c:pt idx="94">
                  <c:v>-4.9513403437078489</c:v>
                </c:pt>
                <c:pt idx="95">
                  <c:v>-4.9240387650610371</c:v>
                </c:pt>
                <c:pt idx="96">
                  <c:v>-4.8907380036690249</c:v>
                </c:pt>
                <c:pt idx="97">
                  <c:v>-4.8514786313799778</c:v>
                </c:pt>
                <c:pt idx="98">
                  <c:v>-4.8063084796915891</c:v>
                </c:pt>
                <c:pt idx="99">
                  <c:v>-4.755282581475762</c:v>
                </c:pt>
                <c:pt idx="100">
                  <c:v>-4.6984631039295355</c:v>
                </c:pt>
                <c:pt idx="101">
                  <c:v>-4.6359192728339291</c:v>
                </c:pt>
                <c:pt idx="102">
                  <c:v>-4.5677272882129962</c:v>
                </c:pt>
                <c:pt idx="103">
                  <c:v>-4.4939702314958261</c:v>
                </c:pt>
                <c:pt idx="104">
                  <c:v>-4.4147379642946252</c:v>
                </c:pt>
                <c:pt idx="105">
                  <c:v>-4.330127018922183</c:v>
                </c:pt>
                <c:pt idx="106">
                  <c:v>-4.240240480782119</c:v>
                </c:pt>
                <c:pt idx="107">
                  <c:v>-4.1451878627751961</c:v>
                </c:pt>
                <c:pt idx="108">
                  <c:v>-4.0450849718747248</c:v>
                </c:pt>
                <c:pt idx="109">
                  <c:v>-3.9400537680335961</c:v>
                </c:pt>
                <c:pt idx="110">
                  <c:v>-3.8302222155948762</c:v>
                </c:pt>
                <c:pt idx="111">
                  <c:v>-3.7157241273869563</c:v>
                </c:pt>
                <c:pt idx="112">
                  <c:v>-3.5966990016932399</c:v>
                </c:pt>
                <c:pt idx="113">
                  <c:v>-3.4732918522949703</c:v>
                </c:pt>
                <c:pt idx="114">
                  <c:v>-3.3456530317942739</c:v>
                </c:pt>
                <c:pt idx="115">
                  <c:v>-3.2139380484326807</c:v>
                </c:pt>
                <c:pt idx="116">
                  <c:v>-3.0783073766282767</c:v>
                </c:pt>
                <c:pt idx="117">
                  <c:v>-2.9389262614623517</c:v>
                </c:pt>
                <c:pt idx="118">
                  <c:v>-2.7959645173537218</c:v>
                </c:pt>
                <c:pt idx="119">
                  <c:v>-2.6495963211660141</c:v>
                </c:pt>
                <c:pt idx="120">
                  <c:v>-2.4999999999999907</c:v>
                </c:pt>
                <c:pt idx="121">
                  <c:v>-2.3473578139294462</c:v>
                </c:pt>
                <c:pt idx="122">
                  <c:v>-2.1918557339453808</c:v>
                </c:pt>
                <c:pt idx="123">
                  <c:v>-2.0336832153789963</c:v>
                </c:pt>
                <c:pt idx="124">
                  <c:v>-1.8730329670795574</c:v>
                </c:pt>
                <c:pt idx="125">
                  <c:v>-1.7101007166283426</c:v>
                </c:pt>
                <c:pt idx="126">
                  <c:v>-1.5450849718747377</c:v>
                </c:pt>
                <c:pt idx="127">
                  <c:v>-1.3781867790849986</c:v>
                </c:pt>
                <c:pt idx="128">
                  <c:v>-1.2096094779983433</c:v>
                </c:pt>
                <c:pt idx="129">
                  <c:v>-1.0395584540888034</c:v>
                </c:pt>
                <c:pt idx="130">
                  <c:v>-0.8682408883346604</c:v>
                </c:pt>
                <c:pt idx="131">
                  <c:v>-0.69586550480033793</c:v>
                </c:pt>
                <c:pt idx="132">
                  <c:v>-0.52264231633828007</c:v>
                </c:pt>
                <c:pt idx="133">
                  <c:v>-0.34878236872064122</c:v>
                </c:pt>
                <c:pt idx="134">
                  <c:v>-0.17449748351252153</c:v>
                </c:pt>
                <c:pt idx="135">
                  <c:v>-1.868242973518397E-14</c:v>
                </c:pt>
                <c:pt idx="136">
                  <c:v>0.1744974835124842</c:v>
                </c:pt>
                <c:pt idx="137">
                  <c:v>0.34878236872060386</c:v>
                </c:pt>
                <c:pt idx="138">
                  <c:v>0.52264231633824287</c:v>
                </c:pt>
                <c:pt idx="139">
                  <c:v>0.69586550480030085</c:v>
                </c:pt>
                <c:pt idx="140">
                  <c:v>0.86824088833462365</c:v>
                </c:pt>
                <c:pt idx="141">
                  <c:v>1.0395584540887668</c:v>
                </c:pt>
                <c:pt idx="142">
                  <c:v>1.2096094779983071</c:v>
                </c:pt>
                <c:pt idx="143">
                  <c:v>1.3781867790849627</c:v>
                </c:pt>
                <c:pt idx="144">
                  <c:v>1.5450849718747022</c:v>
                </c:pt>
                <c:pt idx="145">
                  <c:v>1.7101007166283075</c:v>
                </c:pt>
                <c:pt idx="146">
                  <c:v>1.8730329670795225</c:v>
                </c:pt>
                <c:pt idx="147">
                  <c:v>2.0336832153789621</c:v>
                </c:pt>
                <c:pt idx="148">
                  <c:v>2.1918557339453471</c:v>
                </c:pt>
                <c:pt idx="149">
                  <c:v>2.3473578139294129</c:v>
                </c:pt>
                <c:pt idx="150">
                  <c:v>2.4999999999999583</c:v>
                </c:pt>
                <c:pt idx="151">
                  <c:v>2.6495963211659825</c:v>
                </c:pt>
                <c:pt idx="152">
                  <c:v>2.7959645173536907</c:v>
                </c:pt>
                <c:pt idx="153">
                  <c:v>2.9389262614623219</c:v>
                </c:pt>
                <c:pt idx="154">
                  <c:v>3.0783073766282469</c:v>
                </c:pt>
                <c:pt idx="155">
                  <c:v>3.2139380484326519</c:v>
                </c:pt>
                <c:pt idx="156">
                  <c:v>3.3456530317942463</c:v>
                </c:pt>
                <c:pt idx="157">
                  <c:v>3.4732918522949419</c:v>
                </c:pt>
                <c:pt idx="158">
                  <c:v>3.596699001693211</c:v>
                </c:pt>
                <c:pt idx="159">
                  <c:v>3.7157241273869266</c:v>
                </c:pt>
                <c:pt idx="160">
                  <c:v>3.830222215594846</c:v>
                </c:pt>
                <c:pt idx="161">
                  <c:v>3.9400537680335668</c:v>
                </c:pt>
                <c:pt idx="162">
                  <c:v>4.0450849718746946</c:v>
                </c:pt>
                <c:pt idx="163">
                  <c:v>4.1451878627751668</c:v>
                </c:pt>
                <c:pt idx="164">
                  <c:v>4.2402404807820897</c:v>
                </c:pt>
                <c:pt idx="165">
                  <c:v>4.3301270189221537</c:v>
                </c:pt>
                <c:pt idx="166">
                  <c:v>4.4147379642945968</c:v>
                </c:pt>
                <c:pt idx="167">
                  <c:v>4.4939702314957994</c:v>
                </c:pt>
                <c:pt idx="168">
                  <c:v>4.5677272882129705</c:v>
                </c:pt>
                <c:pt idx="169">
                  <c:v>4.6359192728339051</c:v>
                </c:pt>
                <c:pt idx="170">
                  <c:v>4.6984631039295115</c:v>
                </c:pt>
                <c:pt idx="171">
                  <c:v>4.7552825814757398</c:v>
                </c:pt>
                <c:pt idx="172">
                  <c:v>4.8063084796915687</c:v>
                </c:pt>
                <c:pt idx="173">
                  <c:v>4.85147863137996</c:v>
                </c:pt>
                <c:pt idx="174">
                  <c:v>4.8907380036690089</c:v>
                </c:pt>
                <c:pt idx="175">
                  <c:v>4.9240387650610238</c:v>
                </c:pt>
                <c:pt idx="176">
                  <c:v>4.9513403437078383</c:v>
                </c:pt>
                <c:pt idx="177">
                  <c:v>4.972609476841356</c:v>
                </c:pt>
                <c:pt idx="178">
                  <c:v>4.9878202512991141</c:v>
                </c:pt>
                <c:pt idx="179">
                  <c:v>4.9969541350954749</c:v>
                </c:pt>
                <c:pt idx="180">
                  <c:v>5</c:v>
                </c:pt>
              </c:numCache>
            </c:numRef>
          </c:xVal>
          <c:yVal>
            <c:numRef>
              <c:f>'Prismatic wedge'!$C$24:$C$204</c:f>
              <c:numCache>
                <c:formatCode>0.00</c:formatCode>
                <c:ptCount val="181"/>
                <c:pt idx="0">
                  <c:v>0</c:v>
                </c:pt>
                <c:pt idx="1">
                  <c:v>0.17449748351250485</c:v>
                </c:pt>
                <c:pt idx="2">
                  <c:v>0.34878236872062651</c:v>
                </c:pt>
                <c:pt idx="3">
                  <c:v>0.52264231633826741</c:v>
                </c:pt>
                <c:pt idx="4">
                  <c:v>0.69586550480032716</c:v>
                </c:pt>
                <c:pt idx="5">
                  <c:v>0.86824088833465163</c:v>
                </c:pt>
                <c:pt idx="6">
                  <c:v>1.0395584540887965</c:v>
                </c:pt>
                <c:pt idx="7">
                  <c:v>1.2096094779983386</c:v>
                </c:pt>
                <c:pt idx="8">
                  <c:v>1.3781867790849958</c:v>
                </c:pt>
                <c:pt idx="9">
                  <c:v>1.545084971874737</c:v>
                </c:pt>
                <c:pt idx="10">
                  <c:v>1.7101007166283435</c:v>
                </c:pt>
                <c:pt idx="11">
                  <c:v>1.87303296707956</c:v>
                </c:pt>
                <c:pt idx="12">
                  <c:v>2.0336832153790008</c:v>
                </c:pt>
                <c:pt idx="13">
                  <c:v>2.191855733945387</c:v>
                </c:pt>
                <c:pt idx="14">
                  <c:v>2.3473578139294538</c:v>
                </c:pt>
                <c:pt idx="15">
                  <c:v>2.4999999999999996</c:v>
                </c:pt>
                <c:pt idx="16">
                  <c:v>2.6495963211660243</c:v>
                </c:pt>
                <c:pt idx="17">
                  <c:v>2.7959645173537346</c:v>
                </c:pt>
                <c:pt idx="18">
                  <c:v>2.9389262614623664</c:v>
                </c:pt>
                <c:pt idx="19">
                  <c:v>3.0783073766282918</c:v>
                </c:pt>
                <c:pt idx="20">
                  <c:v>3.2139380484326976</c:v>
                </c:pt>
                <c:pt idx="21">
                  <c:v>3.3456530317942916</c:v>
                </c:pt>
                <c:pt idx="22">
                  <c:v>3.4732918522949872</c:v>
                </c:pt>
                <c:pt idx="23">
                  <c:v>3.5966990016932572</c:v>
                </c:pt>
                <c:pt idx="24">
                  <c:v>3.7157241273869723</c:v>
                </c:pt>
                <c:pt idx="25">
                  <c:v>3.8302222155948917</c:v>
                </c:pt>
                <c:pt idx="26">
                  <c:v>3.9400537680336112</c:v>
                </c:pt>
                <c:pt idx="27">
                  <c:v>4.0450849718747381</c:v>
                </c:pt>
                <c:pt idx="28">
                  <c:v>4.1451878627752095</c:v>
                </c:pt>
                <c:pt idx="29">
                  <c:v>4.2402404807821314</c:v>
                </c:pt>
                <c:pt idx="30">
                  <c:v>4.3301270189221945</c:v>
                </c:pt>
                <c:pt idx="31">
                  <c:v>4.4147379642946358</c:v>
                </c:pt>
                <c:pt idx="32">
                  <c:v>4.4939702314958367</c:v>
                </c:pt>
                <c:pt idx="33">
                  <c:v>4.567727288213006</c:v>
                </c:pt>
                <c:pt idx="34">
                  <c:v>4.635919272833938</c:v>
                </c:pt>
                <c:pt idx="35">
                  <c:v>4.6984631039295435</c:v>
                </c:pt>
                <c:pt idx="36">
                  <c:v>4.7552825814757691</c:v>
                </c:pt>
                <c:pt idx="37">
                  <c:v>4.8063084796915954</c:v>
                </c:pt>
                <c:pt idx="38">
                  <c:v>4.8514786313799831</c:v>
                </c:pt>
                <c:pt idx="39">
                  <c:v>4.8907380036690293</c:v>
                </c:pt>
                <c:pt idx="40">
                  <c:v>4.9240387650610415</c:v>
                </c:pt>
                <c:pt idx="41">
                  <c:v>4.9513403437078525</c:v>
                </c:pt>
                <c:pt idx="42">
                  <c:v>4.9726094768413667</c:v>
                </c:pt>
                <c:pt idx="43">
                  <c:v>4.9878202512991212</c:v>
                </c:pt>
                <c:pt idx="44">
                  <c:v>4.9969541350954785</c:v>
                </c:pt>
                <c:pt idx="45">
                  <c:v>5</c:v>
                </c:pt>
                <c:pt idx="46">
                  <c:v>4.9969541350954785</c:v>
                </c:pt>
                <c:pt idx="47">
                  <c:v>4.9878202512991212</c:v>
                </c:pt>
                <c:pt idx="48">
                  <c:v>4.9726094768413658</c:v>
                </c:pt>
                <c:pt idx="49">
                  <c:v>4.9513403437078507</c:v>
                </c:pt>
                <c:pt idx="50">
                  <c:v>4.9240387650610389</c:v>
                </c:pt>
                <c:pt idx="51">
                  <c:v>4.8907380036690267</c:v>
                </c:pt>
                <c:pt idx="52">
                  <c:v>4.8514786313799805</c:v>
                </c:pt>
                <c:pt idx="53">
                  <c:v>4.8063084796915927</c:v>
                </c:pt>
                <c:pt idx="54">
                  <c:v>4.7552825814757655</c:v>
                </c:pt>
                <c:pt idx="55">
                  <c:v>4.698463103929539</c:v>
                </c:pt>
                <c:pt idx="56">
                  <c:v>4.6359192728339336</c:v>
                </c:pt>
                <c:pt idx="57">
                  <c:v>4.5677272882130007</c:v>
                </c:pt>
                <c:pt idx="58">
                  <c:v>4.4939702314958305</c:v>
                </c:pt>
                <c:pt idx="59">
                  <c:v>4.4147379642946296</c:v>
                </c:pt>
                <c:pt idx="60">
                  <c:v>4.3301270189221883</c:v>
                </c:pt>
                <c:pt idx="61">
                  <c:v>4.2402404807821243</c:v>
                </c:pt>
                <c:pt idx="62">
                  <c:v>4.1451878627752023</c:v>
                </c:pt>
                <c:pt idx="63">
                  <c:v>4.045084971874731</c:v>
                </c:pt>
                <c:pt idx="64">
                  <c:v>3.9400537680336027</c:v>
                </c:pt>
                <c:pt idx="65">
                  <c:v>3.8302222155948829</c:v>
                </c:pt>
                <c:pt idx="66">
                  <c:v>3.7157241273869634</c:v>
                </c:pt>
                <c:pt idx="67">
                  <c:v>3.5966990016932474</c:v>
                </c:pt>
                <c:pt idx="68">
                  <c:v>3.4732918522949778</c:v>
                </c:pt>
                <c:pt idx="69">
                  <c:v>3.3456530317942823</c:v>
                </c:pt>
                <c:pt idx="70">
                  <c:v>3.2139380484326874</c:v>
                </c:pt>
                <c:pt idx="71">
                  <c:v>3.0783073766282816</c:v>
                </c:pt>
                <c:pt idx="72">
                  <c:v>2.9389262614623552</c:v>
                </c:pt>
                <c:pt idx="73">
                  <c:v>2.7959645173537235</c:v>
                </c:pt>
                <c:pt idx="74">
                  <c:v>2.6495963211660136</c:v>
                </c:pt>
                <c:pt idx="75">
                  <c:v>2.4999999999999885</c:v>
                </c:pt>
                <c:pt idx="76">
                  <c:v>2.3473578139294418</c:v>
                </c:pt>
                <c:pt idx="77">
                  <c:v>2.1918557339453746</c:v>
                </c:pt>
                <c:pt idx="78">
                  <c:v>2.0336832153789879</c:v>
                </c:pt>
                <c:pt idx="79">
                  <c:v>1.8730329670795467</c:v>
                </c:pt>
                <c:pt idx="80">
                  <c:v>1.7101007166283297</c:v>
                </c:pt>
                <c:pt idx="81">
                  <c:v>1.5450849718747228</c:v>
                </c:pt>
                <c:pt idx="82">
                  <c:v>1.3781867790849813</c:v>
                </c:pt>
                <c:pt idx="83">
                  <c:v>1.2096094779983237</c:v>
                </c:pt>
                <c:pt idx="84">
                  <c:v>1.0395584540887812</c:v>
                </c:pt>
                <c:pt idx="85">
                  <c:v>0.86824088833463597</c:v>
                </c:pt>
                <c:pt idx="86">
                  <c:v>0.69586550480031129</c:v>
                </c:pt>
                <c:pt idx="87">
                  <c:v>0.52264231633825109</c:v>
                </c:pt>
                <c:pt idx="88">
                  <c:v>0.34878236872060986</c:v>
                </c:pt>
                <c:pt idx="89">
                  <c:v>0.17449748351248795</c:v>
                </c:pt>
                <c:pt idx="90">
                  <c:v>-1.7150994166548195E-14</c:v>
                </c:pt>
                <c:pt idx="91">
                  <c:v>-0.17449748351252223</c:v>
                </c:pt>
                <c:pt idx="92">
                  <c:v>-0.34878236872064405</c:v>
                </c:pt>
                <c:pt idx="93">
                  <c:v>-0.52264231633828517</c:v>
                </c:pt>
                <c:pt idx="94">
                  <c:v>-0.69586550480034504</c:v>
                </c:pt>
                <c:pt idx="95">
                  <c:v>-0.86824088833466984</c:v>
                </c:pt>
                <c:pt idx="96">
                  <c:v>-1.039558454088815</c:v>
                </c:pt>
                <c:pt idx="97">
                  <c:v>-1.2096094779983568</c:v>
                </c:pt>
                <c:pt idx="98">
                  <c:v>-1.3781867790850142</c:v>
                </c:pt>
                <c:pt idx="99">
                  <c:v>-1.5450849718747555</c:v>
                </c:pt>
                <c:pt idx="100">
                  <c:v>-1.7101007166283622</c:v>
                </c:pt>
                <c:pt idx="101">
                  <c:v>-1.8730329670795784</c:v>
                </c:pt>
                <c:pt idx="102">
                  <c:v>-2.0336832153790194</c:v>
                </c:pt>
                <c:pt idx="103">
                  <c:v>-2.1918557339454052</c:v>
                </c:pt>
                <c:pt idx="104">
                  <c:v>-2.347357813929472</c:v>
                </c:pt>
                <c:pt idx="105">
                  <c:v>-2.5000000000000178</c:v>
                </c:pt>
                <c:pt idx="106">
                  <c:v>-2.6495963211660429</c:v>
                </c:pt>
                <c:pt idx="107">
                  <c:v>-2.7959645173537515</c:v>
                </c:pt>
                <c:pt idx="108">
                  <c:v>-2.9389262614623828</c:v>
                </c:pt>
                <c:pt idx="109">
                  <c:v>-3.0783073766283087</c:v>
                </c:pt>
                <c:pt idx="110">
                  <c:v>-3.2139380484327136</c:v>
                </c:pt>
                <c:pt idx="111">
                  <c:v>-3.3456530317943072</c:v>
                </c:pt>
                <c:pt idx="112">
                  <c:v>-3.4732918522950023</c:v>
                </c:pt>
                <c:pt idx="113">
                  <c:v>-3.5966990016932714</c:v>
                </c:pt>
                <c:pt idx="114">
                  <c:v>-3.715724127386987</c:v>
                </c:pt>
                <c:pt idx="115">
                  <c:v>-3.8302222155949033</c:v>
                </c:pt>
                <c:pt idx="116">
                  <c:v>-3.9400537680336214</c:v>
                </c:pt>
                <c:pt idx="117">
                  <c:v>-4.045084971874747</c:v>
                </c:pt>
                <c:pt idx="118">
                  <c:v>-4.1451878627752166</c:v>
                </c:pt>
                <c:pt idx="119">
                  <c:v>-4.2402404807821368</c:v>
                </c:pt>
                <c:pt idx="120">
                  <c:v>-4.3301270189221981</c:v>
                </c:pt>
                <c:pt idx="121">
                  <c:v>-4.4147379642946385</c:v>
                </c:pt>
                <c:pt idx="122">
                  <c:v>-4.4939702314958376</c:v>
                </c:pt>
                <c:pt idx="123">
                  <c:v>-4.5677272882130069</c:v>
                </c:pt>
                <c:pt idx="124">
                  <c:v>-4.635919272833938</c:v>
                </c:pt>
                <c:pt idx="125">
                  <c:v>-4.6984631039295426</c:v>
                </c:pt>
                <c:pt idx="126">
                  <c:v>-4.7552825814757673</c:v>
                </c:pt>
                <c:pt idx="127">
                  <c:v>-4.8063084796915936</c:v>
                </c:pt>
                <c:pt idx="128">
                  <c:v>-4.8514786313799814</c:v>
                </c:pt>
                <c:pt idx="129">
                  <c:v>-4.8907380036690267</c:v>
                </c:pt>
                <c:pt idx="130">
                  <c:v>-4.9240387650610389</c:v>
                </c:pt>
                <c:pt idx="131">
                  <c:v>-4.9513403437078498</c:v>
                </c:pt>
                <c:pt idx="132">
                  <c:v>-4.9726094768413649</c:v>
                </c:pt>
                <c:pt idx="133">
                  <c:v>-4.9878202512991203</c:v>
                </c:pt>
                <c:pt idx="134">
                  <c:v>-4.9969541350954785</c:v>
                </c:pt>
                <c:pt idx="135">
                  <c:v>-5</c:v>
                </c:pt>
                <c:pt idx="136">
                  <c:v>-4.9969541350954794</c:v>
                </c:pt>
                <c:pt idx="137">
                  <c:v>-4.987820251299123</c:v>
                </c:pt>
                <c:pt idx="138">
                  <c:v>-4.9726094768413693</c:v>
                </c:pt>
                <c:pt idx="139">
                  <c:v>-4.9513403437078551</c:v>
                </c:pt>
                <c:pt idx="140">
                  <c:v>-4.9240387650610451</c:v>
                </c:pt>
                <c:pt idx="141">
                  <c:v>-4.8907380036690347</c:v>
                </c:pt>
                <c:pt idx="142">
                  <c:v>-4.8514786313799902</c:v>
                </c:pt>
                <c:pt idx="143">
                  <c:v>-4.8063084796916042</c:v>
                </c:pt>
                <c:pt idx="144">
                  <c:v>-4.7552825814757789</c:v>
                </c:pt>
                <c:pt idx="145">
                  <c:v>-4.698463103929555</c:v>
                </c:pt>
                <c:pt idx="146">
                  <c:v>-4.6359192728339522</c:v>
                </c:pt>
                <c:pt idx="147">
                  <c:v>-4.5677272882130211</c:v>
                </c:pt>
                <c:pt idx="148">
                  <c:v>-4.4939702314958545</c:v>
                </c:pt>
                <c:pt idx="149">
                  <c:v>-4.4147379642946563</c:v>
                </c:pt>
                <c:pt idx="150">
                  <c:v>-4.3301270189222176</c:v>
                </c:pt>
                <c:pt idx="151">
                  <c:v>-4.2402404807821563</c:v>
                </c:pt>
                <c:pt idx="152">
                  <c:v>-4.1451878627752379</c:v>
                </c:pt>
                <c:pt idx="153">
                  <c:v>-4.0450849718747692</c:v>
                </c:pt>
                <c:pt idx="154">
                  <c:v>-3.9400537680336445</c:v>
                </c:pt>
                <c:pt idx="155">
                  <c:v>-3.8302222155949277</c:v>
                </c:pt>
                <c:pt idx="156">
                  <c:v>-3.7157241273870119</c:v>
                </c:pt>
                <c:pt idx="157">
                  <c:v>-3.5966990016932989</c:v>
                </c:pt>
                <c:pt idx="158">
                  <c:v>-3.4732918522950329</c:v>
                </c:pt>
                <c:pt idx="159">
                  <c:v>-3.34565303179434</c:v>
                </c:pt>
                <c:pt idx="160">
                  <c:v>-3.2139380484327491</c:v>
                </c:pt>
                <c:pt idx="161">
                  <c:v>-3.0783073766283469</c:v>
                </c:pt>
                <c:pt idx="162">
                  <c:v>-2.9389262614624241</c:v>
                </c:pt>
                <c:pt idx="163">
                  <c:v>-2.7959645173537955</c:v>
                </c:pt>
                <c:pt idx="164">
                  <c:v>-2.6495963211660896</c:v>
                </c:pt>
                <c:pt idx="165">
                  <c:v>-2.5000000000000675</c:v>
                </c:pt>
                <c:pt idx="166">
                  <c:v>-2.3473578139295244</c:v>
                </c:pt>
                <c:pt idx="167">
                  <c:v>-2.1918557339454607</c:v>
                </c:pt>
                <c:pt idx="168">
                  <c:v>-2.033683215379078</c:v>
                </c:pt>
                <c:pt idx="169">
                  <c:v>-1.87303296707964</c:v>
                </c:pt>
                <c:pt idx="170">
                  <c:v>-1.7101007166284263</c:v>
                </c:pt>
                <c:pt idx="171">
                  <c:v>-1.5450849718748227</c:v>
                </c:pt>
                <c:pt idx="172">
                  <c:v>-1.3781867790850844</c:v>
                </c:pt>
                <c:pt idx="173">
                  <c:v>-1.2096094779984299</c:v>
                </c:pt>
                <c:pt idx="174">
                  <c:v>-1.0395584540888905</c:v>
                </c:pt>
                <c:pt idx="175">
                  <c:v>-0.86824088833474811</c:v>
                </c:pt>
                <c:pt idx="176">
                  <c:v>-0.69586550480042608</c:v>
                </c:pt>
                <c:pt idx="177">
                  <c:v>-0.52264231633836866</c:v>
                </c:pt>
                <c:pt idx="178">
                  <c:v>-0.3487823687207301</c:v>
                </c:pt>
                <c:pt idx="179">
                  <c:v>-0.17449748351261063</c:v>
                </c:pt>
                <c:pt idx="180">
                  <c:v>-1.0780655881892365E-13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D9-4B90-8BD3-2F4F3641374D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'Prismatic wedge'!$G$24:$G$204</c:f>
              <c:numCache>
                <c:formatCode>0.00</c:formatCode>
                <c:ptCount val="181"/>
                <c:pt idx="0">
                  <c:v>4.5315389351832494</c:v>
                </c:pt>
                <c:pt idx="1">
                  <c:v>4.5182208363534997</c:v>
                </c:pt>
                <c:pt idx="2">
                  <c:v>4.5049016793976673</c:v>
                </c:pt>
                <c:pt idx="3">
                  <c:v>4.4915804058533668</c:v>
                </c:pt>
                <c:pt idx="4">
                  <c:v>4.4782559565853877</c:v>
                </c:pt>
                <c:pt idx="5">
                  <c:v>4.4649272714487065</c:v>
                </c:pt>
                <c:pt idx="6">
                  <c:v>4.4515932889508329</c:v>
                </c:pt>
                <c:pt idx="7">
                  <c:v>4.4382529459132183</c:v>
                </c:pt>
                <c:pt idx="8">
                  <c:v>4.4249051771315537</c:v>
                </c:pt>
                <c:pt idx="9">
                  <c:v>4.4115489150346745</c:v>
                </c:pt>
                <c:pt idx="10">
                  <c:v>4.3981830893418632</c:v>
                </c:pt>
                <c:pt idx="11">
                  <c:v>4.3848066267183237</c:v>
                </c:pt>
                <c:pt idx="12">
                  <c:v>4.3714184504285676</c:v>
                </c:pt>
                <c:pt idx="13">
                  <c:v>4.3580174799874856</c:v>
                </c:pt>
                <c:pt idx="14">
                  <c:v>4.3446026308088737</c:v>
                </c:pt>
                <c:pt idx="15">
                  <c:v>4.3311728138511434</c:v>
                </c:pt>
                <c:pt idx="16">
                  <c:v>4.3177269352599863</c:v>
                </c:pt>
                <c:pt idx="17">
                  <c:v>4.3042638960077415</c:v>
                </c:pt>
                <c:pt idx="18">
                  <c:v>4.2907825915291964</c:v>
                </c:pt>
                <c:pt idx="19">
                  <c:v>4.2772819113535787</c:v>
                </c:pt>
                <c:pt idx="20">
                  <c:v>4.2637607387324596</c:v>
                </c:pt>
                <c:pt idx="21">
                  <c:v>4.2502179502633082</c:v>
                </c:pt>
                <c:pt idx="22">
                  <c:v>4.2366524155084235</c:v>
                </c:pt>
                <c:pt idx="23">
                  <c:v>4.2230629966089488</c:v>
                </c:pt>
                <c:pt idx="24">
                  <c:v>4.2094485478937145</c:v>
                </c:pt>
                <c:pt idx="25">
                  <c:v>4.1958079154825709</c:v>
                </c:pt>
                <c:pt idx="26">
                  <c:v>4.18213993688396</c:v>
                </c:pt>
                <c:pt idx="27">
                  <c:v>4.1684434405863904</c:v>
                </c:pt>
                <c:pt idx="28">
                  <c:v>4.1547172456434982</c:v>
                </c:pt>
                <c:pt idx="29">
                  <c:v>4.1409601612524032</c:v>
                </c:pt>
                <c:pt idx="30">
                  <c:v>4.1271709863250026</c:v>
                </c:pt>
                <c:pt idx="31">
                  <c:v>4.1133485090518596</c:v>
                </c:pt>
                <c:pt idx="32">
                  <c:v>4.0994915064583779</c:v>
                </c:pt>
                <c:pt idx="33">
                  <c:v>4.0855987439528567</c:v>
                </c:pt>
                <c:pt idx="34">
                  <c:v>4.0716689748660864</c:v>
                </c:pt>
                <c:pt idx="35">
                  <c:v>4.0577009399821069</c:v>
                </c:pt>
                <c:pt idx="36">
                  <c:v>4.0436933670597233</c:v>
                </c:pt>
                <c:pt idx="37">
                  <c:v>4.0296449703443864</c:v>
                </c:pt>
                <c:pt idx="38">
                  <c:v>4.0155544500700335</c:v>
                </c:pt>
                <c:pt idx="39">
                  <c:v>4.0014204919504337</c:v>
                </c:pt>
                <c:pt idx="40">
                  <c:v>3.9872417666596358</c:v>
                </c:pt>
                <c:pt idx="41">
                  <c:v>3.9730169293010236</c:v>
                </c:pt>
                <c:pt idx="42">
                  <c:v>3.958744618864535</c:v>
                </c:pt>
                <c:pt idx="43">
                  <c:v>3.944423457671554</c:v>
                </c:pt>
                <c:pt idx="44">
                  <c:v>3.9300520508069536</c:v>
                </c:pt>
                <c:pt idx="45">
                  <c:v>3.9156289855377979</c:v>
                </c:pt>
                <c:pt idx="46">
                  <c:v>3.9011528307181429</c:v>
                </c:pt>
                <c:pt idx="47">
                  <c:v>3.8866221361793816</c:v>
                </c:pt>
                <c:pt idx="48">
                  <c:v>3.8720354321055681</c:v>
                </c:pt>
                <c:pt idx="49">
                  <c:v>3.8573912283930971</c:v>
                </c:pt>
                <c:pt idx="50">
                  <c:v>3.8426880139941457</c:v>
                </c:pt>
                <c:pt idx="51">
                  <c:v>3.8279242562432088</c:v>
                </c:pt>
                <c:pt idx="52">
                  <c:v>3.8130984001660759</c:v>
                </c:pt>
                <c:pt idx="53">
                  <c:v>3.798208867770541</c:v>
                </c:pt>
                <c:pt idx="54">
                  <c:v>3.7832540573181395</c:v>
                </c:pt>
                <c:pt idx="55">
                  <c:v>3.7682323425761517</c:v>
                </c:pt>
                <c:pt idx="56">
                  <c:v>3.7531420720491</c:v>
                </c:pt>
                <c:pt idx="57">
                  <c:v>3.7379815681889292</c:v>
                </c:pt>
                <c:pt idx="58">
                  <c:v>3.7227491265830306</c:v>
                </c:pt>
                <c:pt idx="59">
                  <c:v>3.7074430151192299</c:v>
                </c:pt>
                <c:pt idx="60">
                  <c:v>3.6920614731268397</c:v>
                </c:pt>
                <c:pt idx="61">
                  <c:v>3.6766027104928169</c:v>
                </c:pt>
                <c:pt idx="62">
                  <c:v>3.6610649067520402</c:v>
                </c:pt>
                <c:pt idx="63">
                  <c:v>3.6454462101506944</c:v>
                </c:pt>
                <c:pt idx="64">
                  <c:v>3.6297447366816682</c:v>
                </c:pt>
                <c:pt idx="65">
                  <c:v>3.6139585690908738</c:v>
                </c:pt>
                <c:pt idx="66">
                  <c:v>3.5980857558533019</c:v>
                </c:pt>
                <c:pt idx="67">
                  <c:v>3.5821243101176221</c:v>
                </c:pt>
                <c:pt idx="68">
                  <c:v>3.5660722086180474</c:v>
                </c:pt>
                <c:pt idx="69">
                  <c:v>3.5499273905521509</c:v>
                </c:pt>
                <c:pt idx="70">
                  <c:v>3.5336877564232529</c:v>
                </c:pt>
                <c:pt idx="71">
                  <c:v>3.5173511668459496</c:v>
                </c:pt>
                <c:pt idx="72">
                  <c:v>3.5009154413132637</c:v>
                </c:pt>
                <c:pt idx="73">
                  <c:v>3.4843783569238722</c:v>
                </c:pt>
                <c:pt idx="74">
                  <c:v>3.4677376470677475</c:v>
                </c:pt>
                <c:pt idx="75">
                  <c:v>3.4509910000685231</c:v>
                </c:pt>
                <c:pt idx="76">
                  <c:v>3.4341360577807625</c:v>
                </c:pt>
                <c:pt idx="77">
                  <c:v>3.4171704141402905</c:v>
                </c:pt>
                <c:pt idx="78">
                  <c:v>3.4000916136656025</c:v>
                </c:pt>
                <c:pt idx="79">
                  <c:v>3.3828971499083105</c:v>
                </c:pt>
                <c:pt idx="80">
                  <c:v>3.3655844638504759</c:v>
                </c:pt>
                <c:pt idx="81">
                  <c:v>3.3481509422465816</c:v>
                </c:pt>
                <c:pt idx="82">
                  <c:v>3.3305939159077913</c:v>
                </c:pt>
                <c:pt idx="83">
                  <c:v>3.3129106579260199</c:v>
                </c:pt>
                <c:pt idx="84">
                  <c:v>3.2950983818352384</c:v>
                </c:pt>
                <c:pt idx="85">
                  <c:v>3.2771542397072948</c:v>
                </c:pt>
                <c:pt idx="86">
                  <c:v>3.2590753201794165</c:v>
                </c:pt>
                <c:pt idx="87">
                  <c:v>3.2408586464104023</c:v>
                </c:pt>
                <c:pt idx="88">
                  <c:v>3.2225011739623763</c:v>
                </c:pt>
                <c:pt idx="89">
                  <c:v>3.2039997886048237</c:v>
                </c:pt>
                <c:pt idx="90">
                  <c:v>3.1853513040374577</c:v>
                </c:pt>
                <c:pt idx="91">
                  <c:v>3.1665524595282886</c:v>
                </c:pt>
                <c:pt idx="92">
                  <c:v>3.1475999174630935</c:v>
                </c:pt>
                <c:pt idx="93">
                  <c:v>3.1284902608022858</c:v>
                </c:pt>
                <c:pt idx="94">
                  <c:v>3.1092199904409812</c:v>
                </c:pt>
                <c:pt idx="95">
                  <c:v>3.0897855224678192</c:v>
                </c:pt>
                <c:pt idx="96">
                  <c:v>3.0701831853179211</c:v>
                </c:pt>
                <c:pt idx="97">
                  <c:v>3.0504092168150416</c:v>
                </c:pt>
                <c:pt idx="98">
                  <c:v>3.0304597610978004</c:v>
                </c:pt>
                <c:pt idx="99">
                  <c:v>3.0103308654245322</c:v>
                </c:pt>
                <c:pt idx="100">
                  <c:v>2.9900184768510565</c:v>
                </c:pt>
                <c:pt idx="101">
                  <c:v>2.9695184387753168</c:v>
                </c:pt>
                <c:pt idx="102">
                  <c:v>2.9488264873425587</c:v>
                </c:pt>
                <c:pt idx="103">
                  <c:v>2.9279382477043217</c:v>
                </c:pt>
                <c:pt idx="104">
                  <c:v>2.9068492301241839</c:v>
                </c:pt>
                <c:pt idx="105">
                  <c:v>2.8855548259228003</c:v>
                </c:pt>
                <c:pt idx="106">
                  <c:v>2.8640503032543472</c:v>
                </c:pt>
                <c:pt idx="107">
                  <c:v>2.8423308027060492</c:v>
                </c:pt>
                <c:pt idx="108">
                  <c:v>2.8203913327120107</c:v>
                </c:pt>
                <c:pt idx="109">
                  <c:v>2.79822676477204</c:v>
                </c:pt>
                <c:pt idx="110">
                  <c:v>2.77583182846565</c:v>
                </c:pt>
                <c:pt idx="111">
                  <c:v>2.7532011062508408</c:v>
                </c:pt>
                <c:pt idx="112">
                  <c:v>2.7303290280366515</c:v>
                </c:pt>
                <c:pt idx="113">
                  <c:v>2.7072098655178491</c:v>
                </c:pt>
                <c:pt idx="114">
                  <c:v>2.683837726259414</c:v>
                </c:pt>
                <c:pt idx="115">
                  <c:v>2.6602065475177441</c:v>
                </c:pt>
                <c:pt idx="116">
                  <c:v>2.6363100897847409</c:v>
                </c:pt>
                <c:pt idx="117">
                  <c:v>2.612141930040071</c:v>
                </c:pt>
                <c:pt idx="118">
                  <c:v>2.5876954546960214</c:v>
                </c:pt>
                <c:pt idx="119">
                  <c:v>2.5629638522184064</c:v>
                </c:pt>
                <c:pt idx="120">
                  <c:v>2.5379401054059603</c:v>
                </c:pt>
                <c:pt idx="121">
                  <c:v>2.5126169833095453</c:v>
                </c:pt>
                <c:pt idx="122">
                  <c:v>2.4869870327713435</c:v>
                </c:pt>
                <c:pt idx="123">
                  <c:v>2.4610425695629474</c:v>
                </c:pt>
                <c:pt idx="124">
                  <c:v>2.4347756690998925</c:v>
                </c:pt>
                <c:pt idx="125">
                  <c:v>2.4081781567087628</c:v>
                </c:pt>
                <c:pt idx="126">
                  <c:v>2.3812415974214267</c:v>
                </c:pt>
                <c:pt idx="127">
                  <c:v>2.3539572852693125</c:v>
                </c:pt>
                <c:pt idx="128">
                  <c:v>2.3263162320488204</c:v>
                </c:pt>
                <c:pt idx="129">
                  <c:v>2.2983091555270847</c:v>
                </c:pt>
                <c:pt idx="130">
                  <c:v>2.2699264670551957</c:v>
                </c:pt>
                <c:pt idx="131">
                  <c:v>2.2411582585537846</c:v>
                </c:pt>
                <c:pt idx="132">
                  <c:v>2.2119942888334827</c:v>
                </c:pt>
                <c:pt idx="133">
                  <c:v>2.1824239692101788</c:v>
                </c:pt>
                <c:pt idx="134">
                  <c:v>2.1524363483722118</c:v>
                </c:pt>
                <c:pt idx="135">
                  <c:v>2.1220200964536544</c:v>
                </c:pt>
                <c:pt idx="136">
                  <c:v>2.0911634882645789</c:v>
                </c:pt>
                <c:pt idx="137">
                  <c:v>2.059854385625715</c:v>
                </c:pt>
                <c:pt idx="138">
                  <c:v>2.0280802187511235</c:v>
                </c:pt>
                <c:pt idx="139">
                  <c:v>1.9958279666184129</c:v>
                </c:pt>
                <c:pt idx="140">
                  <c:v>1.9630841362615952</c:v>
                </c:pt>
                <c:pt idx="141">
                  <c:v>1.9298347409168999</c:v>
                </c:pt>
                <c:pt idx="142">
                  <c:v>1.8960652769466402</c:v>
                </c:pt>
                <c:pt idx="143">
                  <c:v>1.8617606994606006</c:v>
                </c:pt>
                <c:pt idx="144">
                  <c:v>1.8269053965482931</c:v>
                </c:pt>
                <c:pt idx="145">
                  <c:v>1.7914831620287688</c:v>
                </c:pt>
                <c:pt idx="146">
                  <c:v>1.7554771666174569</c:v>
                </c:pt>
                <c:pt idx="147">
                  <c:v>1.7188699274016164</c:v>
                </c:pt>
                <c:pt idx="148">
                  <c:v>1.6816432755074329</c:v>
                </c:pt>
                <c:pt idx="149">
                  <c:v>1.6437783218324578</c:v>
                </c:pt>
                <c:pt idx="150">
                  <c:v>1.6052554207068941</c:v>
                </c:pt>
                <c:pt idx="151">
                  <c:v>1.5660541313361263</c:v>
                </c:pt>
                <c:pt idx="152">
                  <c:v>1.5261531768647414</c:v>
                </c:pt>
                <c:pt idx="153">
                  <c:v>1.4855304008890196</c:v>
                </c:pt>
                <c:pt idx="154">
                  <c:v>1.4441627212303172</c:v>
                </c:pt>
                <c:pt idx="155">
                  <c:v>1.4020260807658615</c:v>
                </c:pt>
                <c:pt idx="156">
                  <c:v>1.359095395096007</c:v>
                </c:pt>
                <c:pt idx="157">
                  <c:v>1.3153444968078289</c:v>
                </c:pt>
                <c:pt idx="158">
                  <c:v>1.2707460760739051</c:v>
                </c:pt>
                <c:pt idx="159">
                  <c:v>1.2252716173019307</c:v>
                </c:pt>
                <c:pt idx="160">
                  <c:v>1.1788913315253828</c:v>
                </c:pt>
                <c:pt idx="161">
                  <c:v>1.1315740841972974</c:v>
                </c:pt>
                <c:pt idx="162">
                  <c:v>1.0832873180182843</c:v>
                </c:pt>
                <c:pt idx="163">
                  <c:v>1.0339969703956446</c:v>
                </c:pt>
                <c:pt idx="164">
                  <c:v>0.98366738509264129</c:v>
                </c:pt>
                <c:pt idx="165">
                  <c:v>0.93226121758507752</c:v>
                </c:pt>
                <c:pt idx="166">
                  <c:v>0.87973933359593559</c:v>
                </c:pt>
                <c:pt idx="167">
                  <c:v>0.82606070022734102</c:v>
                </c:pt>
                <c:pt idx="168">
                  <c:v>0.77118226905191745</c:v>
                </c:pt>
                <c:pt idx="169">
                  <c:v>0.71505885046199114</c:v>
                </c:pt>
                <c:pt idx="170">
                  <c:v>0.65764297850427433</c:v>
                </c:pt>
                <c:pt idx="171">
                  <c:v>0.5988847653486602</c:v>
                </c:pt>
                <c:pt idx="172">
                  <c:v>0.53873174445158656</c:v>
                </c:pt>
                <c:pt idx="173">
                  <c:v>0.47712870137581931</c:v>
                </c:pt>
                <c:pt idx="174">
                  <c:v>0.41401749111810815</c:v>
                </c:pt>
                <c:pt idx="175">
                  <c:v>0.34933684067239296</c:v>
                </c:pt>
                <c:pt idx="176">
                  <c:v>0.28302213541724003</c:v>
                </c:pt>
                <c:pt idx="177">
                  <c:v>0.2150051877598794</c:v>
                </c:pt>
                <c:pt idx="178">
                  <c:v>0.1452139862931501</c:v>
                </c:pt>
                <c:pt idx="179">
                  <c:v>7.3572423523037833E-2</c:v>
                </c:pt>
                <c:pt idx="180">
                  <c:v>4.2756920709726498E-14</c:v>
                </c:pt>
              </c:numCache>
            </c:numRef>
          </c:xVal>
          <c:yVal>
            <c:numRef>
              <c:f>'Prismatic wedge'!$H$24:$H$204</c:f>
              <c:numCache>
                <c:formatCode>0.00</c:formatCode>
                <c:ptCount val="181"/>
                <c:pt idx="0">
                  <c:v>2.1130913087034973</c:v>
                </c:pt>
                <c:pt idx="1">
                  <c:v>2.1416520638119243</c:v>
                </c:pt>
                <c:pt idx="2">
                  <c:v>2.1702150880790616</c:v>
                </c:pt>
                <c:pt idx="3">
                  <c:v>2.1987826513848154</c:v>
                </c:pt>
                <c:pt idx="4">
                  <c:v>2.2273570250519774</c:v>
                </c:pt>
                <c:pt idx="5">
                  <c:v>2.2559404825688798</c:v>
                </c:pt>
                <c:pt idx="6">
                  <c:v>2.284535300313526</c:v>
                </c:pt>
                <c:pt idx="7">
                  <c:v>2.3131437582796615</c:v>
                </c:pt>
                <c:pt idx="8">
                  <c:v>2.3417681408053008</c:v>
                </c:pt>
                <c:pt idx="9">
                  <c:v>2.3704107373041992</c:v>
                </c:pt>
                <c:pt idx="10">
                  <c:v>2.3990738430007563</c:v>
                </c:pt>
                <c:pt idx="11">
                  <c:v>2.4277597596688731</c:v>
                </c:pt>
                <c:pt idx="12">
                  <c:v>2.4564707963752599</c:v>
                </c:pt>
                <c:pt idx="13">
                  <c:v>2.4852092702277035</c:v>
                </c:pt>
                <c:pt idx="14">
                  <c:v>2.5139775071288279</c:v>
                </c:pt>
                <c:pt idx="15">
                  <c:v>2.542777842535858</c:v>
                </c:pt>
                <c:pt idx="16">
                  <c:v>2.5716126222269251</c:v>
                </c:pt>
                <c:pt idx="17">
                  <c:v>2.6004842030744562</c:v>
                </c:pt>
                <c:pt idx="18">
                  <c:v>2.6293949538261918</c:v>
                </c:pt>
                <c:pt idx="19">
                  <c:v>2.6583472558943901</c:v>
                </c:pt>
                <c:pt idx="20">
                  <c:v>2.6873435041537852</c:v>
                </c:pt>
                <c:pt idx="21">
                  <c:v>2.7163861077488756</c:v>
                </c:pt>
                <c:pt idx="22">
                  <c:v>2.7454774909111412</c:v>
                </c:pt>
                <c:pt idx="23">
                  <c:v>2.7746200937867656</c:v>
                </c:pt>
                <c:pt idx="24">
                  <c:v>2.8038163732755104</c:v>
                </c:pt>
                <c:pt idx="25">
                  <c:v>2.8330688038813343</c:v>
                </c:pt>
                <c:pt idx="26">
                  <c:v>2.8623798785754295</c:v>
                </c:pt>
                <c:pt idx="27">
                  <c:v>2.8917521096723031</c:v>
                </c:pt>
                <c:pt idx="28">
                  <c:v>2.9211880297195991</c:v>
                </c:pt>
                <c:pt idx="29">
                  <c:v>2.9506901924023339</c:v>
                </c:pt>
                <c:pt idx="30">
                  <c:v>2.980261173462265</c:v>
                </c:pt>
                <c:pt idx="31">
                  <c:v>3.0099035716331057</c:v>
                </c:pt>
                <c:pt idx="32">
                  <c:v>3.0396200095923458</c:v>
                </c:pt>
                <c:pt idx="33">
                  <c:v>3.0694131349304334</c:v>
                </c:pt>
                <c:pt idx="34">
                  <c:v>3.0992856211381108</c:v>
                </c:pt>
                <c:pt idx="35">
                  <c:v>3.1292401686127231</c:v>
                </c:pt>
                <c:pt idx="36">
                  <c:v>3.1592795056843186</c:v>
                </c:pt>
                <c:pt idx="37">
                  <c:v>3.1894063896624205</c:v>
                </c:pt>
                <c:pt idx="38">
                  <c:v>3.2196236079043534</c:v>
                </c:pt>
                <c:pt idx="39">
                  <c:v>3.249933978906026</c:v>
                </c:pt>
                <c:pt idx="40">
                  <c:v>3.2803403534161459</c:v>
                </c:pt>
                <c:pt idx="41">
                  <c:v>3.3108456155748134</c:v>
                </c:pt>
                <c:pt idx="42">
                  <c:v>3.3414526840775216</c:v>
                </c:pt>
                <c:pt idx="43">
                  <c:v>3.3721645133656035</c:v>
                </c:pt>
                <c:pt idx="44">
                  <c:v>3.4029840948441978</c:v>
                </c:pt>
                <c:pt idx="45">
                  <c:v>3.4339144581288625</c:v>
                </c:pt>
                <c:pt idx="46">
                  <c:v>3.4649586723219823</c:v>
                </c:pt>
                <c:pt idx="47">
                  <c:v>3.4961198473201649</c:v>
                </c:pt>
                <c:pt idx="48">
                  <c:v>3.5274011351538843</c:v>
                </c:pt>
                <c:pt idx="49">
                  <c:v>3.5588057313606294</c:v>
                </c:pt>
                <c:pt idx="50">
                  <c:v>3.5903368763929162</c:v>
                </c:pt>
                <c:pt idx="51">
                  <c:v>3.6219978570625253</c:v>
                </c:pt>
                <c:pt idx="52">
                  <c:v>3.6537920080224171</c:v>
                </c:pt>
                <c:pt idx="53">
                  <c:v>3.6857227132877926</c:v>
                </c:pt>
                <c:pt idx="54">
                  <c:v>3.7177934077978767</c:v>
                </c:pt>
                <c:pt idx="55">
                  <c:v>3.7500075790199903</c:v>
                </c:pt>
                <c:pt idx="56">
                  <c:v>3.7823687685976135</c:v>
                </c:pt>
                <c:pt idx="57">
                  <c:v>3.8148805740441611</c:v>
                </c:pt>
                <c:pt idx="58">
                  <c:v>3.847546650484269</c:v>
                </c:pt>
                <c:pt idx="59">
                  <c:v>3.88037071244448</c:v>
                </c:pt>
                <c:pt idx="60">
                  <c:v>3.9133565356952675</c:v>
                </c:pt>
                <c:pt idx="61">
                  <c:v>3.9465079591464458</c:v>
                </c:pt>
                <c:pt idx="62">
                  <c:v>3.9798288867980602</c:v>
                </c:pt>
                <c:pt idx="63">
                  <c:v>4.0133232897489872</c:v>
                </c:pt>
                <c:pt idx="64">
                  <c:v>4.0469952082655096</c:v>
                </c:pt>
                <c:pt idx="65">
                  <c:v>4.080848753912294</c:v>
                </c:pt>
                <c:pt idx="66">
                  <c:v>4.1148881117482228</c:v>
                </c:pt>
                <c:pt idx="67">
                  <c:v>4.1491175425897255</c:v>
                </c:pt>
                <c:pt idx="68">
                  <c:v>4.1835413853442844</c:v>
                </c:pt>
                <c:pt idx="69">
                  <c:v>4.2181640594169671</c:v>
                </c:pt>
                <c:pt idx="70">
                  <c:v>4.2529900671929308</c:v>
                </c:pt>
                <c:pt idx="71">
                  <c:v>4.2880239965989837</c:v>
                </c:pt>
                <c:pt idx="72">
                  <c:v>4.323270523747424</c:v>
                </c:pt>
                <c:pt idx="73">
                  <c:v>4.3587344156655252</c:v>
                </c:pt>
                <c:pt idx="74">
                  <c:v>4.3944205331141735</c:v>
                </c:pt>
                <c:pt idx="75">
                  <c:v>4.4303338334993425</c:v>
                </c:pt>
                <c:pt idx="76">
                  <c:v>4.4664793738802349</c:v>
                </c:pt>
                <c:pt idx="77">
                  <c:v>4.5028623140781265</c:v>
                </c:pt>
                <c:pt idx="78">
                  <c:v>4.5394879198900959</c:v>
                </c:pt>
                <c:pt idx="79">
                  <c:v>4.5763615664120598</c:v>
                </c:pt>
                <c:pt idx="80">
                  <c:v>4.6134887414756962</c:v>
                </c:pt>
                <c:pt idx="81">
                  <c:v>4.6508750492040978</c:v>
                </c:pt>
                <c:pt idx="82">
                  <c:v>4.6885262136912029</c:v>
                </c:pt>
                <c:pt idx="83">
                  <c:v>4.7264480828102675</c:v>
                </c:pt>
                <c:pt idx="84">
                  <c:v>4.7646466321569783</c:v>
                </c:pt>
                <c:pt idx="85">
                  <c:v>4.8031279691329596</c:v>
                </c:pt>
                <c:pt idx="86">
                  <c:v>4.8418983371758273</c:v>
                </c:pt>
                <c:pt idx="87">
                  <c:v>4.8809641201421439</c:v>
                </c:pt>
                <c:pt idx="88">
                  <c:v>4.9203318468500008</c:v>
                </c:pt>
                <c:pt idx="89">
                  <c:v>4.9600081957882871</c:v>
                </c:pt>
                <c:pt idx="90">
                  <c:v>5.0000000000000178</c:v>
                </c:pt>
                <c:pt idx="91">
                  <c:v>5.0403142521475157</c:v>
                </c:pt>
                <c:pt idx="92">
                  <c:v>5.0809581097675744</c:v>
                </c:pt>
                <c:pt idx="93">
                  <c:v>5.1219389007252367</c:v>
                </c:pt>
                <c:pt idx="94">
                  <c:v>5.163264128875146</c:v>
                </c:pt>
                <c:pt idx="95">
                  <c:v>5.204941479940012</c:v>
                </c:pt>
                <c:pt idx="96">
                  <c:v>5.2469788276161307</c:v>
                </c:pt>
                <c:pt idx="97">
                  <c:v>5.2893842399164948</c:v>
                </c:pt>
                <c:pt idx="98">
                  <c:v>5.3321659857625185</c:v>
                </c:pt>
                <c:pt idx="99">
                  <c:v>5.3753325418360545</c:v>
                </c:pt>
                <c:pt idx="100">
                  <c:v>5.4188925997039536</c:v>
                </c:pt>
                <c:pt idx="101">
                  <c:v>5.4628550732280861</c:v>
                </c:pt>
                <c:pt idx="102">
                  <c:v>5.5072291062744831</c:v>
                </c:pt>
                <c:pt idx="103">
                  <c:v>5.5520240807359462</c:v>
                </c:pt>
                <c:pt idx="104">
                  <c:v>5.5972496248833004</c:v>
                </c:pt>
                <c:pt idx="105">
                  <c:v>5.6429156220612926</c:v>
                </c:pt>
                <c:pt idx="106">
                  <c:v>5.6890322197460463</c:v>
                </c:pt>
                <c:pt idx="107">
                  <c:v>5.7356098389818815</c:v>
                </c:pt>
                <c:pt idx="108">
                  <c:v>5.7826591842164099</c:v>
                </c:pt>
                <c:pt idx="109">
                  <c:v>5.8301912535537816</c:v>
                </c:pt>
                <c:pt idx="110">
                  <c:v>5.8782173494472039</c:v>
                </c:pt>
                <c:pt idx="111">
                  <c:v>5.9267490898529918</c:v>
                </c:pt>
                <c:pt idx="112">
                  <c:v>5.9757984198697578</c:v>
                </c:pt>
                <c:pt idx="113">
                  <c:v>6.0253776238877146</c:v>
                </c:pt>
                <c:pt idx="114">
                  <c:v>6.0754993382745432</c:v>
                </c:pt>
                <c:pt idx="115">
                  <c:v>6.1261765646258528</c:v>
                </c:pt>
                <c:pt idx="116">
                  <c:v>6.1774226836099411</c:v>
                </c:pt>
                <c:pt idx="117">
                  <c:v>6.2292514694383669</c:v>
                </c:pt>
                <c:pt idx="118">
                  <c:v>6.2816771049957492</c:v>
                </c:pt>
                <c:pt idx="119">
                  <c:v>6.334714197664284</c:v>
                </c:pt>
                <c:pt idx="120">
                  <c:v>6.3883777958806522</c:v>
                </c:pt>
                <c:pt idx="121">
                  <c:v>6.4426834064653251</c:v>
                </c:pt>
                <c:pt idx="122">
                  <c:v>6.4976470127668149</c:v>
                </c:pt>
                <c:pt idx="123">
                  <c:v>6.5532850936661253</c:v>
                </c:pt>
                <c:pt idx="124">
                  <c:v>6.6096146434894836</c:v>
                </c:pt>
                <c:pt idx="125">
                  <c:v>6.6666531928806005</c:v>
                </c:pt>
                <c:pt idx="126">
                  <c:v>6.7244188306870063</c:v>
                </c:pt>
                <c:pt idx="127">
                  <c:v>6.7829302269185598</c:v>
                </c:pt>
                <c:pt idx="128">
                  <c:v>6.8422066568400792</c:v>
                </c:pt>
                <c:pt idx="129">
                  <c:v>6.9022680262641813</c:v>
                </c:pt>
                <c:pt idx="130">
                  <c:v>6.9631348981148147</c:v>
                </c:pt>
                <c:pt idx="131">
                  <c:v>7.0248285203367535</c:v>
                </c:pt>
                <c:pt idx="132">
                  <c:v>7.0873708552314714</c:v>
                </c:pt>
                <c:pt idx="133">
                  <c:v>7.1507846103053261</c:v>
                </c:pt>
                <c:pt idx="134">
                  <c:v>7.2150932707219626</c:v>
                </c:pt>
                <c:pt idx="135">
                  <c:v>7.2803211334572708</c:v>
                </c:pt>
                <c:pt idx="136">
                  <c:v>7.3464933432621953</c:v>
                </c:pt>
                <c:pt idx="137">
                  <c:v>7.4136359305461843</c:v>
                </c:pt>
                <c:pt idx="138">
                  <c:v>7.4817758513021699</c:v>
                </c:pt>
                <c:pt idx="139">
                  <c:v>7.5509410292027868</c:v>
                </c:pt>
                <c:pt idx="140">
                  <c:v>7.6211604000069748</c:v>
                </c:pt>
                <c:pt idx="141">
                  <c:v>7.6924639584264316</c:v>
                </c:pt>
                <c:pt idx="142">
                  <c:v>7.7648828076125511</c:v>
                </c:pt>
                <c:pt idx="143">
                  <c:v>7.8384492114365196</c:v>
                </c:pt>
                <c:pt idx="144">
                  <c:v>7.9131966497484223</c:v>
                </c:pt>
                <c:pt idx="145">
                  <c:v>7.989159876815453</c:v>
                </c:pt>
                <c:pt idx="146">
                  <c:v>8.0663749831548461</c:v>
                </c:pt>
                <c:pt idx="147">
                  <c:v>8.1448794609939643</c:v>
                </c:pt>
                <c:pt idx="148">
                  <c:v>8.2247122736084428</c:v>
                </c:pt>
                <c:pt idx="149">
                  <c:v>8.3059139288092005</c:v>
                </c:pt>
                <c:pt idx="150">
                  <c:v>8.3885265568710761</c:v>
                </c:pt>
                <c:pt idx="151">
                  <c:v>8.4725939932195864</c:v>
                </c:pt>
                <c:pt idx="152">
                  <c:v>8.5581618662184074</c:v>
                </c:pt>
                <c:pt idx="153">
                  <c:v>8.6452776904286512</c:v>
                </c:pt>
                <c:pt idx="154">
                  <c:v>8.7339909657421622</c:v>
                </c:pt>
                <c:pt idx="155">
                  <c:v>8.8243532828252089</c:v>
                </c:pt>
                <c:pt idx="156">
                  <c:v>8.9164184353464382</c:v>
                </c:pt>
                <c:pt idx="157">
                  <c:v>9.0102425395039418</c:v>
                </c:pt>
                <c:pt idx="158">
                  <c:v>9.105884161411641</c:v>
                </c:pt>
                <c:pt idx="159">
                  <c:v>9.2034044529545636</c:v>
                </c:pt>
                <c:pt idx="160">
                  <c:v>9.302867296777583</c:v>
                </c:pt>
                <c:pt idx="161">
                  <c:v>9.4043394611321247</c:v>
                </c:pt>
                <c:pt idx="162">
                  <c:v>9.5078907653720464</c:v>
                </c:pt>
                <c:pt idx="163">
                  <c:v>9.6135942569631183</c:v>
                </c:pt>
                <c:pt idx="164">
                  <c:v>9.7215264009517828</c:v>
                </c:pt>
                <c:pt idx="165">
                  <c:v>9.8317672829286291</c:v>
                </c:pt>
                <c:pt idx="166">
                  <c:v>9.9444008266215427</c:v>
                </c:pt>
                <c:pt idx="167">
                  <c:v>10.05951502736399</c:v>
                </c:pt>
                <c:pt idx="168">
                  <c:v>10.177202202806393</c:v>
                </c:pt>
                <c:pt idx="169">
                  <c:v>10.297559262375144</c:v>
                </c:pt>
                <c:pt idx="170">
                  <c:v>10.420687997135559</c:v>
                </c:pt>
                <c:pt idx="171">
                  <c:v>10.546695391884551</c:v>
                </c:pt>
                <c:pt idx="172">
                  <c:v>10.67569396148788</c:v>
                </c:pt>
                <c:pt idx="173">
                  <c:v>10.807802113688313</c:v>
                </c:pt>
                <c:pt idx="174">
                  <c:v>10.94314454084771</c:v>
                </c:pt>
                <c:pt idx="175">
                  <c:v>11.081852643351604</c:v>
                </c:pt>
                <c:pt idx="176">
                  <c:v>11.224064987702832</c:v>
                </c:pt>
                <c:pt idx="177">
                  <c:v>11.369927802665977</c:v>
                </c:pt>
                <c:pt idx="178">
                  <c:v>11.519595517202054</c:v>
                </c:pt>
                <c:pt idx="179">
                  <c:v>11.673231344358681</c:v>
                </c:pt>
                <c:pt idx="180">
                  <c:v>11.831007915762404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D9-4B90-8BD3-2F4F3641374D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'Prismatic wedge'!$AC$24:$AC$204</c:f>
              <c:numCache>
                <c:formatCode>0.00</c:formatCode>
                <c:ptCount val="181"/>
                <c:pt idx="0">
                  <c:v>-4.5315389351832494</c:v>
                </c:pt>
                <c:pt idx="1">
                  <c:v>-4.5182208363534997</c:v>
                </c:pt>
                <c:pt idx="2">
                  <c:v>-4.5049016793976664</c:v>
                </c:pt>
                <c:pt idx="3">
                  <c:v>-4.491580405853365</c:v>
                </c:pt>
                <c:pt idx="4">
                  <c:v>-4.4782559565853859</c:v>
                </c:pt>
                <c:pt idx="5">
                  <c:v>-4.4649272714487047</c:v>
                </c:pt>
                <c:pt idx="6">
                  <c:v>-4.4515932889508294</c:v>
                </c:pt>
                <c:pt idx="7">
                  <c:v>-4.4382529459132156</c:v>
                </c:pt>
                <c:pt idx="8">
                  <c:v>-4.4249051771315511</c:v>
                </c:pt>
                <c:pt idx="9">
                  <c:v>-4.4115489150346709</c:v>
                </c:pt>
                <c:pt idx="10">
                  <c:v>-4.3981830893418605</c:v>
                </c:pt>
                <c:pt idx="11">
                  <c:v>-4.3848066267183201</c:v>
                </c:pt>
                <c:pt idx="12">
                  <c:v>-4.3714184504285631</c:v>
                </c:pt>
                <c:pt idx="13">
                  <c:v>-4.3580174799874811</c:v>
                </c:pt>
                <c:pt idx="14">
                  <c:v>-4.3446026308088692</c:v>
                </c:pt>
                <c:pt idx="15">
                  <c:v>-4.3311728138511381</c:v>
                </c:pt>
                <c:pt idx="16">
                  <c:v>-4.317726935259981</c:v>
                </c:pt>
                <c:pt idx="17">
                  <c:v>-4.3042638960077362</c:v>
                </c:pt>
                <c:pt idx="18">
                  <c:v>-4.2907825915291902</c:v>
                </c:pt>
                <c:pt idx="19">
                  <c:v>-4.2772819113535725</c:v>
                </c:pt>
                <c:pt idx="20">
                  <c:v>-4.2637607387324534</c:v>
                </c:pt>
                <c:pt idx="21">
                  <c:v>-4.250217950263302</c:v>
                </c:pt>
                <c:pt idx="22">
                  <c:v>-4.2366524155084155</c:v>
                </c:pt>
                <c:pt idx="23">
                  <c:v>-4.2230629966089426</c:v>
                </c:pt>
                <c:pt idx="24">
                  <c:v>-4.2094485478937065</c:v>
                </c:pt>
                <c:pt idx="25">
                  <c:v>-4.1958079154825629</c:v>
                </c:pt>
                <c:pt idx="26">
                  <c:v>-4.1821399368839529</c:v>
                </c:pt>
                <c:pt idx="27">
                  <c:v>-4.1684434405863815</c:v>
                </c:pt>
                <c:pt idx="28">
                  <c:v>-4.1547172456434902</c:v>
                </c:pt>
                <c:pt idx="29">
                  <c:v>-4.1409601612523952</c:v>
                </c:pt>
                <c:pt idx="30">
                  <c:v>-4.1271709863249937</c:v>
                </c:pt>
                <c:pt idx="31">
                  <c:v>-4.1133485090518507</c:v>
                </c:pt>
                <c:pt idx="32">
                  <c:v>-4.099491506458369</c:v>
                </c:pt>
                <c:pt idx="33">
                  <c:v>-4.0855987439528469</c:v>
                </c:pt>
                <c:pt idx="34">
                  <c:v>-4.0716689748660757</c:v>
                </c:pt>
                <c:pt idx="35">
                  <c:v>-4.0577009399820962</c:v>
                </c:pt>
                <c:pt idx="36">
                  <c:v>-4.0436933670597126</c:v>
                </c:pt>
                <c:pt idx="37">
                  <c:v>-4.0296449703443757</c:v>
                </c:pt>
                <c:pt idx="38">
                  <c:v>-4.0155544500700211</c:v>
                </c:pt>
                <c:pt idx="39">
                  <c:v>-4.0014204919504222</c:v>
                </c:pt>
                <c:pt idx="40">
                  <c:v>-3.9872417666596243</c:v>
                </c:pt>
                <c:pt idx="41">
                  <c:v>-3.9730169293010111</c:v>
                </c:pt>
                <c:pt idx="42">
                  <c:v>-3.9587446188645234</c:v>
                </c:pt>
                <c:pt idx="43">
                  <c:v>-3.9444234576715416</c:v>
                </c:pt>
                <c:pt idx="44">
                  <c:v>-3.9300520508069403</c:v>
                </c:pt>
                <c:pt idx="45">
                  <c:v>-3.9156289855377855</c:v>
                </c:pt>
                <c:pt idx="46">
                  <c:v>-3.9011528307181287</c:v>
                </c:pt>
                <c:pt idx="47">
                  <c:v>-3.8866221361793687</c:v>
                </c:pt>
                <c:pt idx="48">
                  <c:v>-3.8720354321055539</c:v>
                </c:pt>
                <c:pt idx="49">
                  <c:v>-3.857391228393082</c:v>
                </c:pt>
                <c:pt idx="50">
                  <c:v>-3.8426880139941306</c:v>
                </c:pt>
                <c:pt idx="51">
                  <c:v>-3.8279242562431941</c:v>
                </c:pt>
                <c:pt idx="52">
                  <c:v>-3.8130984001660599</c:v>
                </c:pt>
                <c:pt idx="53">
                  <c:v>-3.7982088677705255</c:v>
                </c:pt>
                <c:pt idx="54">
                  <c:v>-3.783254057318123</c:v>
                </c:pt>
                <c:pt idx="55">
                  <c:v>-3.7682323425761353</c:v>
                </c:pt>
                <c:pt idx="56">
                  <c:v>-3.7531420720490831</c:v>
                </c:pt>
                <c:pt idx="57">
                  <c:v>-3.7379815681889124</c:v>
                </c:pt>
                <c:pt idx="58">
                  <c:v>-3.7227491265830137</c:v>
                </c:pt>
                <c:pt idx="59">
                  <c:v>-3.7074430151192121</c:v>
                </c:pt>
                <c:pt idx="60">
                  <c:v>-3.6920614731268224</c:v>
                </c:pt>
                <c:pt idx="61">
                  <c:v>-3.6766027104927987</c:v>
                </c:pt>
                <c:pt idx="62">
                  <c:v>-3.661064906752022</c:v>
                </c:pt>
                <c:pt idx="63">
                  <c:v>-3.6454462101506753</c:v>
                </c:pt>
                <c:pt idx="64">
                  <c:v>-3.6297447366816487</c:v>
                </c:pt>
                <c:pt idx="65">
                  <c:v>-3.6139585690908533</c:v>
                </c:pt>
                <c:pt idx="66">
                  <c:v>-3.5980857558532811</c:v>
                </c:pt>
                <c:pt idx="67">
                  <c:v>-3.5821243101176012</c:v>
                </c:pt>
                <c:pt idx="68">
                  <c:v>-3.5660722086180265</c:v>
                </c:pt>
                <c:pt idx="69">
                  <c:v>-3.5499273905521291</c:v>
                </c:pt>
                <c:pt idx="70">
                  <c:v>-3.5336877564232312</c:v>
                </c:pt>
                <c:pt idx="71">
                  <c:v>-3.517351166845927</c:v>
                </c:pt>
                <c:pt idx="72">
                  <c:v>-3.5009154413132406</c:v>
                </c:pt>
                <c:pt idx="73">
                  <c:v>-3.4843783569238487</c:v>
                </c:pt>
                <c:pt idx="74">
                  <c:v>-3.4677376470677239</c:v>
                </c:pt>
                <c:pt idx="75">
                  <c:v>-3.4509910000684987</c:v>
                </c:pt>
                <c:pt idx="76">
                  <c:v>-3.4341360577807376</c:v>
                </c:pt>
                <c:pt idx="77">
                  <c:v>-3.4171704141402657</c:v>
                </c:pt>
                <c:pt idx="78">
                  <c:v>-3.4000916136655772</c:v>
                </c:pt>
                <c:pt idx="79">
                  <c:v>-3.3828971499082852</c:v>
                </c:pt>
                <c:pt idx="80">
                  <c:v>-3.3655844638504497</c:v>
                </c:pt>
                <c:pt idx="81">
                  <c:v>-3.348150942246555</c:v>
                </c:pt>
                <c:pt idx="82">
                  <c:v>-3.3305939159077642</c:v>
                </c:pt>
                <c:pt idx="83">
                  <c:v>-3.3129106579259924</c:v>
                </c:pt>
                <c:pt idx="84">
                  <c:v>-3.2950983818352095</c:v>
                </c:pt>
                <c:pt idx="85">
                  <c:v>-3.277154239707265</c:v>
                </c:pt>
                <c:pt idx="86">
                  <c:v>-3.2590753201793867</c:v>
                </c:pt>
                <c:pt idx="87">
                  <c:v>-3.2408586464103721</c:v>
                </c:pt>
                <c:pt idx="88">
                  <c:v>-3.2225011739623453</c:v>
                </c:pt>
                <c:pt idx="89">
                  <c:v>-3.2039997886047917</c:v>
                </c:pt>
                <c:pt idx="90">
                  <c:v>-3.1853513040374253</c:v>
                </c:pt>
                <c:pt idx="91">
                  <c:v>-3.1665524595282548</c:v>
                </c:pt>
                <c:pt idx="92">
                  <c:v>-3.1475999174630593</c:v>
                </c:pt>
                <c:pt idx="93">
                  <c:v>-3.1284902608022511</c:v>
                </c:pt>
                <c:pt idx="94">
                  <c:v>-3.1092199904409452</c:v>
                </c:pt>
                <c:pt idx="95">
                  <c:v>-3.0897855224677824</c:v>
                </c:pt>
                <c:pt idx="96">
                  <c:v>-3.0701831853178825</c:v>
                </c:pt>
                <c:pt idx="97">
                  <c:v>-3.0504092168150021</c:v>
                </c:pt>
                <c:pt idx="98">
                  <c:v>-3.0304597610977595</c:v>
                </c:pt>
                <c:pt idx="99">
                  <c:v>-3.0103308654244914</c:v>
                </c:pt>
                <c:pt idx="100">
                  <c:v>-2.9900184768510139</c:v>
                </c:pt>
                <c:pt idx="101">
                  <c:v>-2.9695184387752738</c:v>
                </c:pt>
                <c:pt idx="102">
                  <c:v>-2.9488264873425147</c:v>
                </c:pt>
                <c:pt idx="103">
                  <c:v>-2.9279382477042755</c:v>
                </c:pt>
                <c:pt idx="104">
                  <c:v>-2.9068492301241364</c:v>
                </c:pt>
                <c:pt idx="105">
                  <c:v>-2.8855548259227524</c:v>
                </c:pt>
                <c:pt idx="106">
                  <c:v>-2.8640503032542979</c:v>
                </c:pt>
                <c:pt idx="107">
                  <c:v>-2.8423308027059986</c:v>
                </c:pt>
                <c:pt idx="108">
                  <c:v>-2.8203913327119592</c:v>
                </c:pt>
                <c:pt idx="109">
                  <c:v>-2.7982267647719867</c:v>
                </c:pt>
                <c:pt idx="110">
                  <c:v>-2.7758318284655954</c:v>
                </c:pt>
                <c:pt idx="111">
                  <c:v>-2.7532011062507848</c:v>
                </c:pt>
                <c:pt idx="112">
                  <c:v>-2.7303290280365955</c:v>
                </c:pt>
                <c:pt idx="113">
                  <c:v>-2.7072098655177927</c:v>
                </c:pt>
                <c:pt idx="114">
                  <c:v>-2.6838377262593562</c:v>
                </c:pt>
                <c:pt idx="115">
                  <c:v>-2.660206547517685</c:v>
                </c:pt>
                <c:pt idx="116">
                  <c:v>-2.6363100897846818</c:v>
                </c:pt>
                <c:pt idx="117">
                  <c:v>-2.6121419300400111</c:v>
                </c:pt>
                <c:pt idx="118">
                  <c:v>-2.5876954546959605</c:v>
                </c:pt>
                <c:pt idx="119">
                  <c:v>-2.5629638522183451</c:v>
                </c:pt>
                <c:pt idx="120">
                  <c:v>-2.5379401054058985</c:v>
                </c:pt>
                <c:pt idx="121">
                  <c:v>-2.5126169833094818</c:v>
                </c:pt>
                <c:pt idx="122">
                  <c:v>-2.48698703277128</c:v>
                </c:pt>
                <c:pt idx="123">
                  <c:v>-2.4610425695628835</c:v>
                </c:pt>
                <c:pt idx="124">
                  <c:v>-2.4347756690998277</c:v>
                </c:pt>
                <c:pt idx="125">
                  <c:v>-2.4081781567086966</c:v>
                </c:pt>
                <c:pt idx="126">
                  <c:v>-2.3812415974213601</c:v>
                </c:pt>
                <c:pt idx="127">
                  <c:v>-2.353957285269245</c:v>
                </c:pt>
                <c:pt idx="128">
                  <c:v>-2.3263162320487516</c:v>
                </c:pt>
                <c:pt idx="129">
                  <c:v>-2.298309155527015</c:v>
                </c:pt>
                <c:pt idx="130">
                  <c:v>-2.2699264670551251</c:v>
                </c:pt>
                <c:pt idx="131">
                  <c:v>-2.2411582585537131</c:v>
                </c:pt>
                <c:pt idx="132">
                  <c:v>-2.2119942888334108</c:v>
                </c:pt>
                <c:pt idx="133">
                  <c:v>-2.1824239692101055</c:v>
                </c:pt>
                <c:pt idx="134">
                  <c:v>-2.152436348372138</c:v>
                </c:pt>
                <c:pt idx="135">
                  <c:v>-2.1220200964535794</c:v>
                </c:pt>
                <c:pt idx="136">
                  <c:v>-2.0911634882645025</c:v>
                </c:pt>
                <c:pt idx="137">
                  <c:v>-2.0598543856256373</c:v>
                </c:pt>
                <c:pt idx="138">
                  <c:v>-2.0280802187510449</c:v>
                </c:pt>
                <c:pt idx="139">
                  <c:v>-1.9958279666183329</c:v>
                </c:pt>
                <c:pt idx="140">
                  <c:v>-1.9630841362615137</c:v>
                </c:pt>
                <c:pt idx="141">
                  <c:v>-1.9298347409168175</c:v>
                </c:pt>
                <c:pt idx="142">
                  <c:v>-1.8960652769465567</c:v>
                </c:pt>
                <c:pt idx="143">
                  <c:v>-1.8617606994605156</c:v>
                </c:pt>
                <c:pt idx="144">
                  <c:v>-1.8269053965482065</c:v>
                </c:pt>
                <c:pt idx="145">
                  <c:v>-1.7914831620286806</c:v>
                </c:pt>
                <c:pt idx="146">
                  <c:v>-1.7554771666173681</c:v>
                </c:pt>
                <c:pt idx="147">
                  <c:v>-1.7188699274015256</c:v>
                </c:pt>
                <c:pt idx="148">
                  <c:v>-1.6816432755073409</c:v>
                </c:pt>
                <c:pt idx="149">
                  <c:v>-1.6437783218323641</c:v>
                </c:pt>
                <c:pt idx="150">
                  <c:v>-1.6052554207067991</c:v>
                </c:pt>
                <c:pt idx="151">
                  <c:v>-1.5660541313360294</c:v>
                </c:pt>
                <c:pt idx="152">
                  <c:v>-1.5261531768646424</c:v>
                </c:pt>
                <c:pt idx="153">
                  <c:v>-1.485530400888919</c:v>
                </c:pt>
                <c:pt idx="154">
                  <c:v>-1.4441627212302144</c:v>
                </c:pt>
                <c:pt idx="155">
                  <c:v>-1.4020260807657576</c:v>
                </c:pt>
                <c:pt idx="156">
                  <c:v>-1.3590953950958999</c:v>
                </c:pt>
                <c:pt idx="157">
                  <c:v>-1.3153444968077206</c:v>
                </c:pt>
                <c:pt idx="158">
                  <c:v>-1.2707460760737943</c:v>
                </c:pt>
                <c:pt idx="159">
                  <c:v>-1.2252716173018177</c:v>
                </c:pt>
                <c:pt idx="160">
                  <c:v>-1.1788913315252678</c:v>
                </c:pt>
                <c:pt idx="161">
                  <c:v>-1.1315740841971802</c:v>
                </c:pt>
                <c:pt idx="162">
                  <c:v>-1.0832873180181644</c:v>
                </c:pt>
                <c:pt idx="163">
                  <c:v>-1.0339969703955223</c:v>
                </c:pt>
                <c:pt idx="164">
                  <c:v>-0.9836673850925165</c:v>
                </c:pt>
                <c:pt idx="165">
                  <c:v>-0.93226121758494995</c:v>
                </c:pt>
                <c:pt idx="166">
                  <c:v>-0.87973933359580547</c:v>
                </c:pt>
                <c:pt idx="167">
                  <c:v>-0.8260607002272079</c:v>
                </c:pt>
                <c:pt idx="168">
                  <c:v>-0.77118226905178133</c:v>
                </c:pt>
                <c:pt idx="169">
                  <c:v>-0.71505885046185214</c:v>
                </c:pt>
                <c:pt idx="170">
                  <c:v>-0.65764297850413211</c:v>
                </c:pt>
                <c:pt idx="171">
                  <c:v>-0.59888476534851443</c:v>
                </c:pt>
                <c:pt idx="172">
                  <c:v>-0.53873174445143734</c:v>
                </c:pt>
                <c:pt idx="173">
                  <c:v>-0.47712870137566626</c:v>
                </c:pt>
                <c:pt idx="174">
                  <c:v>-0.41401749111795155</c:v>
                </c:pt>
                <c:pt idx="175">
                  <c:v>-0.34933684067223236</c:v>
                </c:pt>
                <c:pt idx="176">
                  <c:v>-0.28302213541707544</c:v>
                </c:pt>
                <c:pt idx="177">
                  <c:v>-0.21500518775971059</c:v>
                </c:pt>
                <c:pt idx="178">
                  <c:v>-0.14521398629297683</c:v>
                </c:pt>
                <c:pt idx="179">
                  <c:v>-7.357242352285992E-2</c:v>
                </c:pt>
                <c:pt idx="180">
                  <c:v>1.399563454149852E-13</c:v>
                </c:pt>
              </c:numCache>
            </c:numRef>
          </c:xVal>
          <c:yVal>
            <c:numRef>
              <c:f>'Prismatic wedge'!$AD$24:$AD$204</c:f>
              <c:numCache>
                <c:formatCode>0.00</c:formatCode>
                <c:ptCount val="181"/>
                <c:pt idx="0">
                  <c:v>2.1130913087034973</c:v>
                </c:pt>
                <c:pt idx="1">
                  <c:v>2.1416520638119256</c:v>
                </c:pt>
                <c:pt idx="2">
                  <c:v>2.1702150880790638</c:v>
                </c:pt>
                <c:pt idx="3">
                  <c:v>2.1987826513848181</c:v>
                </c:pt>
                <c:pt idx="4">
                  <c:v>2.2273570250519805</c:v>
                </c:pt>
                <c:pt idx="5">
                  <c:v>2.2559404825688842</c:v>
                </c:pt>
                <c:pt idx="6">
                  <c:v>2.2845353003135309</c:v>
                </c:pt>
                <c:pt idx="7">
                  <c:v>2.3131437582796663</c:v>
                </c:pt>
                <c:pt idx="8">
                  <c:v>2.341768140805307</c:v>
                </c:pt>
                <c:pt idx="9">
                  <c:v>2.3704107373042063</c:v>
                </c:pt>
                <c:pt idx="10">
                  <c:v>2.3990738430007643</c:v>
                </c:pt>
                <c:pt idx="11">
                  <c:v>2.427759759668882</c:v>
                </c:pt>
                <c:pt idx="12">
                  <c:v>2.4564707963752688</c:v>
                </c:pt>
                <c:pt idx="13">
                  <c:v>2.4852092702277129</c:v>
                </c:pt>
                <c:pt idx="14">
                  <c:v>2.5139775071288377</c:v>
                </c:pt>
                <c:pt idx="15">
                  <c:v>2.5427778425358682</c:v>
                </c:pt>
                <c:pt idx="16">
                  <c:v>2.5716126222269362</c:v>
                </c:pt>
                <c:pt idx="17">
                  <c:v>2.6004842030744681</c:v>
                </c:pt>
                <c:pt idx="18">
                  <c:v>2.6293949538262043</c:v>
                </c:pt>
                <c:pt idx="19">
                  <c:v>2.6583472558944035</c:v>
                </c:pt>
                <c:pt idx="20">
                  <c:v>2.6873435041537981</c:v>
                </c:pt>
                <c:pt idx="21">
                  <c:v>2.7163861077488893</c:v>
                </c:pt>
                <c:pt idx="22">
                  <c:v>2.745477490911155</c:v>
                </c:pt>
                <c:pt idx="23">
                  <c:v>2.7746200937867807</c:v>
                </c:pt>
                <c:pt idx="24">
                  <c:v>2.803816373275525</c:v>
                </c:pt>
                <c:pt idx="25">
                  <c:v>2.8330688038813499</c:v>
                </c:pt>
                <c:pt idx="26">
                  <c:v>2.862379878575446</c:v>
                </c:pt>
                <c:pt idx="27">
                  <c:v>2.8917521096723204</c:v>
                </c:pt>
                <c:pt idx="28">
                  <c:v>2.9211880297196169</c:v>
                </c:pt>
                <c:pt idx="29">
                  <c:v>2.9506901924023525</c:v>
                </c:pt>
                <c:pt idx="30">
                  <c:v>2.9802611734622837</c:v>
                </c:pt>
                <c:pt idx="31">
                  <c:v>3.0099035716331253</c:v>
                </c:pt>
                <c:pt idx="32">
                  <c:v>3.0396200095923662</c:v>
                </c:pt>
                <c:pt idx="33">
                  <c:v>3.0694131349304539</c:v>
                </c:pt>
                <c:pt idx="34">
                  <c:v>3.0992856211381317</c:v>
                </c:pt>
                <c:pt idx="35">
                  <c:v>3.1292401686127449</c:v>
                </c:pt>
                <c:pt idx="36">
                  <c:v>3.1592795056843408</c:v>
                </c:pt>
                <c:pt idx="37">
                  <c:v>3.1894063896624441</c:v>
                </c:pt>
                <c:pt idx="38">
                  <c:v>3.2196236079043761</c:v>
                </c:pt>
                <c:pt idx="39">
                  <c:v>3.24993397890605</c:v>
                </c:pt>
                <c:pt idx="40">
                  <c:v>3.2803403534161699</c:v>
                </c:pt>
                <c:pt idx="41">
                  <c:v>3.3108456155748383</c:v>
                </c:pt>
                <c:pt idx="42">
                  <c:v>3.3414526840775478</c:v>
                </c:pt>
                <c:pt idx="43">
                  <c:v>3.3721645133656297</c:v>
                </c:pt>
                <c:pt idx="44">
                  <c:v>3.4029840948442249</c:v>
                </c:pt>
                <c:pt idx="45">
                  <c:v>3.4339144581288905</c:v>
                </c:pt>
                <c:pt idx="46">
                  <c:v>3.4649586723220098</c:v>
                </c:pt>
                <c:pt idx="47">
                  <c:v>3.4961198473201938</c:v>
                </c:pt>
                <c:pt idx="48">
                  <c:v>3.5274011351539132</c:v>
                </c:pt>
                <c:pt idx="49">
                  <c:v>3.55880573136066</c:v>
                </c:pt>
                <c:pt idx="50">
                  <c:v>3.5903368763929469</c:v>
                </c:pt>
                <c:pt idx="51">
                  <c:v>3.6219978570625582</c:v>
                </c:pt>
                <c:pt idx="52">
                  <c:v>3.6537920080224491</c:v>
                </c:pt>
                <c:pt idx="53">
                  <c:v>3.6857227132878259</c:v>
                </c:pt>
                <c:pt idx="54">
                  <c:v>3.7177934077979109</c:v>
                </c:pt>
                <c:pt idx="55">
                  <c:v>3.7500075790200245</c:v>
                </c:pt>
                <c:pt idx="56">
                  <c:v>3.7823687685976486</c:v>
                </c:pt>
                <c:pt idx="57">
                  <c:v>3.8148805740441976</c:v>
                </c:pt>
                <c:pt idx="58">
                  <c:v>3.8475466504843068</c:v>
                </c:pt>
                <c:pt idx="59">
                  <c:v>3.8803707124445177</c:v>
                </c:pt>
                <c:pt idx="60">
                  <c:v>3.9133565356953066</c:v>
                </c:pt>
                <c:pt idx="61">
                  <c:v>3.9465079591464844</c:v>
                </c:pt>
                <c:pt idx="62">
                  <c:v>3.9798288867981002</c:v>
                </c:pt>
                <c:pt idx="63">
                  <c:v>4.0133232897490272</c:v>
                </c:pt>
                <c:pt idx="64">
                  <c:v>4.0469952082655514</c:v>
                </c:pt>
                <c:pt idx="65">
                  <c:v>4.0808487539123357</c:v>
                </c:pt>
                <c:pt idx="66">
                  <c:v>4.1148881117482654</c:v>
                </c:pt>
                <c:pt idx="67">
                  <c:v>4.1491175425897691</c:v>
                </c:pt>
                <c:pt idx="68">
                  <c:v>4.1835413853443297</c:v>
                </c:pt>
                <c:pt idx="69">
                  <c:v>4.2181640594170133</c:v>
                </c:pt>
                <c:pt idx="70">
                  <c:v>4.2529900671929779</c:v>
                </c:pt>
                <c:pt idx="71">
                  <c:v>4.2880239965990308</c:v>
                </c:pt>
                <c:pt idx="72">
                  <c:v>4.323270523747472</c:v>
                </c:pt>
                <c:pt idx="73">
                  <c:v>4.358734415665575</c:v>
                </c:pt>
                <c:pt idx="74">
                  <c:v>4.3944205331142241</c:v>
                </c:pt>
                <c:pt idx="75">
                  <c:v>4.4303338334993931</c:v>
                </c:pt>
                <c:pt idx="76">
                  <c:v>4.4664793738802864</c:v>
                </c:pt>
                <c:pt idx="77">
                  <c:v>4.5028623140781798</c:v>
                </c:pt>
                <c:pt idx="78">
                  <c:v>4.5394879198901501</c:v>
                </c:pt>
                <c:pt idx="79">
                  <c:v>4.5763615664121149</c:v>
                </c:pt>
                <c:pt idx="80">
                  <c:v>4.6134887414757522</c:v>
                </c:pt>
                <c:pt idx="81">
                  <c:v>4.6508750492041555</c:v>
                </c:pt>
                <c:pt idx="82">
                  <c:v>4.6885262136912624</c:v>
                </c:pt>
                <c:pt idx="83">
                  <c:v>4.726448082810327</c:v>
                </c:pt>
                <c:pt idx="84">
                  <c:v>4.7646466321570387</c:v>
                </c:pt>
                <c:pt idx="85">
                  <c:v>4.8031279691330209</c:v>
                </c:pt>
                <c:pt idx="86">
                  <c:v>4.8418983371758912</c:v>
                </c:pt>
                <c:pt idx="87">
                  <c:v>4.8809641201422078</c:v>
                </c:pt>
                <c:pt idx="88">
                  <c:v>4.9203318468500665</c:v>
                </c:pt>
                <c:pt idx="89">
                  <c:v>4.9600081957883537</c:v>
                </c:pt>
                <c:pt idx="90">
                  <c:v>5.0000000000000862</c:v>
                </c:pt>
                <c:pt idx="91">
                  <c:v>5.040314252147585</c:v>
                </c:pt>
                <c:pt idx="92">
                  <c:v>5.0809581097676473</c:v>
                </c:pt>
                <c:pt idx="93">
                  <c:v>5.1219389007253113</c:v>
                </c:pt>
                <c:pt idx="94">
                  <c:v>5.1632641288752232</c:v>
                </c:pt>
                <c:pt idx="95">
                  <c:v>5.204941479940091</c:v>
                </c:pt>
                <c:pt idx="96">
                  <c:v>5.2469788276162124</c:v>
                </c:pt>
                <c:pt idx="97">
                  <c:v>5.2893842399165774</c:v>
                </c:pt>
                <c:pt idx="98">
                  <c:v>5.3321659857626029</c:v>
                </c:pt>
                <c:pt idx="99">
                  <c:v>5.3753325418361424</c:v>
                </c:pt>
                <c:pt idx="100">
                  <c:v>5.4188925997040434</c:v>
                </c:pt>
                <c:pt idx="101">
                  <c:v>5.4628550732281775</c:v>
                </c:pt>
                <c:pt idx="102">
                  <c:v>5.5072291062745782</c:v>
                </c:pt>
                <c:pt idx="103">
                  <c:v>5.552024080736043</c:v>
                </c:pt>
                <c:pt idx="104">
                  <c:v>5.5972496248833989</c:v>
                </c:pt>
                <c:pt idx="105">
                  <c:v>5.6429156220613956</c:v>
                </c:pt>
                <c:pt idx="106">
                  <c:v>5.6890322197461511</c:v>
                </c:pt>
                <c:pt idx="107">
                  <c:v>5.7356098389819898</c:v>
                </c:pt>
                <c:pt idx="108">
                  <c:v>5.78265918421652</c:v>
                </c:pt>
                <c:pt idx="109">
                  <c:v>5.8301912535538944</c:v>
                </c:pt>
                <c:pt idx="110">
                  <c:v>5.8782173494473202</c:v>
                </c:pt>
                <c:pt idx="111">
                  <c:v>5.9267490898531117</c:v>
                </c:pt>
                <c:pt idx="112">
                  <c:v>5.9757984198698786</c:v>
                </c:pt>
                <c:pt idx="113">
                  <c:v>6.0253776238878363</c:v>
                </c:pt>
                <c:pt idx="114">
                  <c:v>6.0754993382746658</c:v>
                </c:pt>
                <c:pt idx="115">
                  <c:v>6.1261765646259763</c:v>
                </c:pt>
                <c:pt idx="116">
                  <c:v>6.1774226836100663</c:v>
                </c:pt>
                <c:pt idx="117">
                  <c:v>6.2292514694384931</c:v>
                </c:pt>
                <c:pt idx="118">
                  <c:v>6.2816771049958771</c:v>
                </c:pt>
                <c:pt idx="119">
                  <c:v>6.3347141976644146</c:v>
                </c:pt>
                <c:pt idx="120">
                  <c:v>6.3883777958807846</c:v>
                </c:pt>
                <c:pt idx="121">
                  <c:v>6.4426834064654566</c:v>
                </c:pt>
                <c:pt idx="122">
                  <c:v>6.497647012766949</c:v>
                </c:pt>
                <c:pt idx="123">
                  <c:v>6.5532850936662621</c:v>
                </c:pt>
                <c:pt idx="124">
                  <c:v>6.6096146434896221</c:v>
                </c:pt>
                <c:pt idx="125">
                  <c:v>6.6666531928807409</c:v>
                </c:pt>
                <c:pt idx="126">
                  <c:v>6.7244188306871493</c:v>
                </c:pt>
                <c:pt idx="127">
                  <c:v>6.7829302269187037</c:v>
                </c:pt>
                <c:pt idx="128">
                  <c:v>6.842206656840224</c:v>
                </c:pt>
                <c:pt idx="129">
                  <c:v>6.9022680262643279</c:v>
                </c:pt>
                <c:pt idx="130">
                  <c:v>6.9631348981149639</c:v>
                </c:pt>
                <c:pt idx="131">
                  <c:v>7.0248285203369045</c:v>
                </c:pt>
                <c:pt idx="132">
                  <c:v>7.087370855231625</c:v>
                </c:pt>
                <c:pt idx="133">
                  <c:v>7.1507846103054815</c:v>
                </c:pt>
                <c:pt idx="134">
                  <c:v>7.2150932707221207</c:v>
                </c:pt>
                <c:pt idx="135">
                  <c:v>7.2803211334574316</c:v>
                </c:pt>
                <c:pt idx="136">
                  <c:v>7.3464933432623587</c:v>
                </c:pt>
                <c:pt idx="137">
                  <c:v>7.4136359305463486</c:v>
                </c:pt>
                <c:pt idx="138">
                  <c:v>7.481775851302336</c:v>
                </c:pt>
                <c:pt idx="139">
                  <c:v>7.5509410292029573</c:v>
                </c:pt>
                <c:pt idx="140">
                  <c:v>7.6211604000071462</c:v>
                </c:pt>
                <c:pt idx="141">
                  <c:v>7.6924639584266057</c:v>
                </c:pt>
                <c:pt idx="142">
                  <c:v>7.7648828076127296</c:v>
                </c:pt>
                <c:pt idx="143">
                  <c:v>7.8384492114366999</c:v>
                </c:pt>
                <c:pt idx="144">
                  <c:v>7.9131966497486044</c:v>
                </c:pt>
                <c:pt idx="145">
                  <c:v>7.9891598768156378</c:v>
                </c:pt>
                <c:pt idx="146">
                  <c:v>8.0663749831550344</c:v>
                </c:pt>
                <c:pt idx="147">
                  <c:v>8.1448794609941562</c:v>
                </c:pt>
                <c:pt idx="148">
                  <c:v>8.22471227360864</c:v>
                </c:pt>
                <c:pt idx="149">
                  <c:v>8.3059139288093995</c:v>
                </c:pt>
                <c:pt idx="150">
                  <c:v>8.3885265568712803</c:v>
                </c:pt>
                <c:pt idx="151">
                  <c:v>8.4725939932197942</c:v>
                </c:pt>
                <c:pt idx="152">
                  <c:v>8.5581618662186187</c:v>
                </c:pt>
                <c:pt idx="153">
                  <c:v>8.645277690428868</c:v>
                </c:pt>
                <c:pt idx="154">
                  <c:v>8.7339909657423789</c:v>
                </c:pt>
                <c:pt idx="155">
                  <c:v>8.8243532828254327</c:v>
                </c:pt>
                <c:pt idx="156">
                  <c:v>8.9164184353466602</c:v>
                </c:pt>
                <c:pt idx="157">
                  <c:v>9.010242539504171</c:v>
                </c:pt>
                <c:pt idx="158">
                  <c:v>9.1058841614118755</c:v>
                </c:pt>
                <c:pt idx="159">
                  <c:v>9.2034044529548034</c:v>
                </c:pt>
                <c:pt idx="160">
                  <c:v>9.3028672967778281</c:v>
                </c:pt>
                <c:pt idx="161">
                  <c:v>9.4043394611323752</c:v>
                </c:pt>
                <c:pt idx="162">
                  <c:v>9.5078907653723004</c:v>
                </c:pt>
                <c:pt idx="163">
                  <c:v>9.6135942569633759</c:v>
                </c:pt>
                <c:pt idx="164">
                  <c:v>9.7215264009520492</c:v>
                </c:pt>
                <c:pt idx="165">
                  <c:v>9.8317672829288991</c:v>
                </c:pt>
                <c:pt idx="166">
                  <c:v>9.9444008266218216</c:v>
                </c:pt>
                <c:pt idx="167">
                  <c:v>10.059515027364272</c:v>
                </c:pt>
                <c:pt idx="168">
                  <c:v>10.177202202806685</c:v>
                </c:pt>
                <c:pt idx="169">
                  <c:v>10.297559262375444</c:v>
                </c:pt>
                <c:pt idx="170">
                  <c:v>10.420687997135863</c:v>
                </c:pt>
                <c:pt idx="171">
                  <c:v>10.546695391884862</c:v>
                </c:pt>
                <c:pt idx="172">
                  <c:v>10.6756939614882</c:v>
                </c:pt>
                <c:pt idx="173">
                  <c:v>10.807802113688636</c:v>
                </c:pt>
                <c:pt idx="174">
                  <c:v>10.943144540848042</c:v>
                </c:pt>
                <c:pt idx="175">
                  <c:v>11.081852643351946</c:v>
                </c:pt>
                <c:pt idx="176">
                  <c:v>11.224064987703182</c:v>
                </c:pt>
                <c:pt idx="177">
                  <c:v>11.369927802666338</c:v>
                </c:pt>
                <c:pt idx="178">
                  <c:v>11.519595517202424</c:v>
                </c:pt>
                <c:pt idx="179">
                  <c:v>11.67323134435906</c:v>
                </c:pt>
                <c:pt idx="180">
                  <c:v>11.831007915762793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D9-4B90-8BD3-2F4F36413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568688"/>
        <c:axId val="1830148512"/>
      </c:scatterChart>
      <c:valAx>
        <c:axId val="1927568688"/>
        <c:scaling>
          <c:orientation val="minMax"/>
          <c:max val="6"/>
          <c:min val="-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830148512"/>
        <c:crosses val="autoZero"/>
        <c:crossBetween val="midCat"/>
        <c:majorUnit val="2"/>
      </c:valAx>
      <c:valAx>
        <c:axId val="183014851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92756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wedge'!$B$6</c:f>
              <c:strCache>
                <c:ptCount val="1"/>
                <c:pt idx="0">
                  <c:v>Brady &amp; Brown[5]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wedge'!$A$7:$A$17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wedge'!$B$7:$B$17</c:f>
              <c:numCache>
                <c:formatCode>0.000</c:formatCode>
                <c:ptCount val="11"/>
                <c:pt idx="0">
                  <c:v>1.9239034622631812</c:v>
                </c:pt>
                <c:pt idx="1">
                  <c:v>1.6017575963100512</c:v>
                </c:pt>
                <c:pt idx="2">
                  <c:v>1.2498932715399405</c:v>
                </c:pt>
                <c:pt idx="3">
                  <c:v>0.86668586403164449</c:v>
                </c:pt>
                <c:pt idx="4">
                  <c:v>0.45056328051376932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C-402B-8FA4-B2F9574CD360}"/>
            </c:ext>
          </c:extLst>
        </c:ser>
        <c:ser>
          <c:idx val="1"/>
          <c:order val="1"/>
          <c:tx>
            <c:strRef>
              <c:f>'results_Symmetric wedge'!$C$6</c:f>
              <c:strCache>
                <c:ptCount val="1"/>
                <c:pt idx="0">
                  <c:v>Μ1-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'results_Symmetric wedge'!$A$7:$A$17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wedge'!$C$7:$C$17</c:f>
              <c:numCache>
                <c:formatCode>0.000</c:formatCode>
                <c:ptCount val="11"/>
                <c:pt idx="0">
                  <c:v>1.9227806513418704</c:v>
                </c:pt>
                <c:pt idx="1">
                  <c:v>1.6011143461800457</c:v>
                </c:pt>
                <c:pt idx="2">
                  <c:v>1.2495969646918665</c:v>
                </c:pt>
                <c:pt idx="3">
                  <c:v>0.86660702316717464</c:v>
                </c:pt>
                <c:pt idx="4">
                  <c:v>0.45057952362335507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3C-402B-8FA4-B2F9574CD360}"/>
            </c:ext>
          </c:extLst>
        </c:ser>
        <c:ser>
          <c:idx val="2"/>
          <c:order val="2"/>
          <c:tx>
            <c:strRef>
              <c:f>'results_Symmetric wedge'!$D$6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wedge'!$A$7:$A$17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wedge'!$D$7:$D$17</c:f>
              <c:numCache>
                <c:formatCode>0.000</c:formatCode>
                <c:ptCount val="11"/>
                <c:pt idx="0">
                  <c:v>1.0596347398448343</c:v>
                </c:pt>
                <c:pt idx="1">
                  <c:v>1.0185893862073272</c:v>
                </c:pt>
                <c:pt idx="2">
                  <c:v>0.97991991251526633</c:v>
                </c:pt>
                <c:pt idx="3">
                  <c:v>0.94339485465956729</c:v>
                </c:pt>
                <c:pt idx="4">
                  <c:v>0.90881225986251379</c:v>
                </c:pt>
                <c:pt idx="5">
                  <c:v>0.87599514777967091</c:v>
                </c:pt>
                <c:pt idx="6">
                  <c:v>0.84478775680759965</c:v>
                </c:pt>
                <c:pt idx="7">
                  <c:v>0.81504818948708069</c:v>
                </c:pt>
                <c:pt idx="8">
                  <c:v>0.78665551935514866</c:v>
                </c:pt>
                <c:pt idx="9">
                  <c:v>0.75950333690645044</c:v>
                </c:pt>
                <c:pt idx="10">
                  <c:v>0.73348734257358794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3C-402B-8FA4-B2F9574CD360}"/>
            </c:ext>
          </c:extLst>
        </c:ser>
        <c:ser>
          <c:idx val="3"/>
          <c:order val="3"/>
          <c:tx>
            <c:strRef>
              <c:f>'results_Symmetric wedge'!$E$6</c:f>
              <c:strCache>
                <c:ptCount val="1"/>
                <c:pt idx="0">
                  <c:v>M1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wedge'!$A$7:$A$17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wedge'!$E$7:$E$17</c:f>
              <c:numCache>
                <c:formatCode>0.000</c:formatCode>
                <c:ptCount val="11"/>
                <c:pt idx="0">
                  <c:v>1.3556414798698397</c:v>
                </c:pt>
                <c:pt idx="1">
                  <c:v>1.1179776885166059</c:v>
                </c:pt>
                <c:pt idx="2">
                  <c:v>0.86449714063151173</c:v>
                </c:pt>
                <c:pt idx="3">
                  <c:v>0.59423074046408475</c:v>
                </c:pt>
                <c:pt idx="4">
                  <c:v>0.30631596470236261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F-4D76-9F75-7FC04FEB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ax val="35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symmetric wedge with half angle </a:t>
                </a:r>
                <a:r>
                  <a:rPr lang="el-GR"/>
                  <a:t>α [</a:t>
                </a:r>
                <a:r>
                  <a:rPr lang="el-GR" baseline="30000"/>
                  <a:t>ο</a:t>
                </a:r>
                <a:r>
                  <a:rPr lang="el-GR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420871897177617"/>
          <c:y val="6.7112925271968105E-2"/>
          <c:w val="0.42504496844033096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wedge'!$H$6</c:f>
              <c:strCache>
                <c:ptCount val="1"/>
                <c:pt idx="0">
                  <c:v>Brady &amp; Brown[5]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wedge'!$G$7:$G$17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wedge'!$H$7:$H$17</c:f>
              <c:numCache>
                <c:formatCode>0.000</c:formatCode>
                <c:ptCount val="11"/>
                <c:pt idx="0">
                  <c:v>1.8073384956376348</c:v>
                </c:pt>
                <c:pt idx="1">
                  <c:v>1.9239034622631812</c:v>
                </c:pt>
                <c:pt idx="2">
                  <c:v>1.9907841621747768</c:v>
                </c:pt>
                <c:pt idx="3">
                  <c:v>2.0341659109528436</c:v>
                </c:pt>
                <c:pt idx="4">
                  <c:v>2.0645828457975695</c:v>
                </c:pt>
                <c:pt idx="5">
                  <c:v>2.087091296184981</c:v>
                </c:pt>
                <c:pt idx="6">
                  <c:v>2.1044207639129664</c:v>
                </c:pt>
                <c:pt idx="7">
                  <c:v>2.1181742805182719</c:v>
                </c:pt>
                <c:pt idx="8">
                  <c:v>2.1293551778459245</c:v>
                </c:pt>
                <c:pt idx="9">
                  <c:v>2.1386235403118272</c:v>
                </c:pt>
                <c:pt idx="10">
                  <c:v>2.1464314244304359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C-4375-9AF0-7AA7794A2FA5}"/>
            </c:ext>
          </c:extLst>
        </c:ser>
        <c:ser>
          <c:idx val="2"/>
          <c:order val="1"/>
          <c:tx>
            <c:strRef>
              <c:f>'results_Symmetric wedge'!$J$6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wedge'!$G$7:$G$17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wedge'!$J$7:$J$17</c:f>
              <c:numCache>
                <c:formatCode>0.000</c:formatCode>
                <c:ptCount val="11"/>
                <c:pt idx="0">
                  <c:v>1.0063631477916182</c:v>
                </c:pt>
                <c:pt idx="1">
                  <c:v>1.0596347398448343</c:v>
                </c:pt>
                <c:pt idx="2">
                  <c:v>1.0787204442973888</c:v>
                </c:pt>
                <c:pt idx="3">
                  <c:v>1.0885335551162345</c:v>
                </c:pt>
                <c:pt idx="4">
                  <c:v>1.0945108601836044</c:v>
                </c:pt>
                <c:pt idx="5">
                  <c:v>1.0985337066037795</c:v>
                </c:pt>
                <c:pt idx="6">
                  <c:v>1.1014259975431364</c:v>
                </c:pt>
                <c:pt idx="7">
                  <c:v>1.1036056017157085</c:v>
                </c:pt>
                <c:pt idx="8">
                  <c:v>1.1053070434063597</c:v>
                </c:pt>
                <c:pt idx="9">
                  <c:v>1.1066721182519914</c:v>
                </c:pt>
                <c:pt idx="10">
                  <c:v>1.1077916005904356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C-4375-9AF0-7AA7794A2FA5}"/>
            </c:ext>
          </c:extLst>
        </c:ser>
        <c:ser>
          <c:idx val="3"/>
          <c:order val="2"/>
          <c:tx>
            <c:strRef>
              <c:f>'results_Symmetric wedge'!$K$6</c:f>
              <c:strCache>
                <c:ptCount val="1"/>
                <c:pt idx="0">
                  <c:v>Μ1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wedge'!$G$7:$G$17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wedge'!$K$7:$K$17</c:f>
              <c:numCache>
                <c:formatCode>0.000</c:formatCode>
                <c:ptCount val="11"/>
                <c:pt idx="0">
                  <c:v>1.0274547567525891</c:v>
                </c:pt>
                <c:pt idx="1">
                  <c:v>1.3556414798698397</c:v>
                </c:pt>
                <c:pt idx="2">
                  <c:v>1.5439429771308799</c:v>
                </c:pt>
                <c:pt idx="3">
                  <c:v>1.66608356865443</c:v>
                </c:pt>
                <c:pt idx="4">
                  <c:v>1.7517219423694641</c:v>
                </c:pt>
                <c:pt idx="5">
                  <c:v>1.8150941097447486</c:v>
                </c:pt>
                <c:pt idx="6">
                  <c:v>1.8638849376551674</c:v>
                </c:pt>
                <c:pt idx="7">
                  <c:v>1.9026077347073105</c:v>
                </c:pt>
                <c:pt idx="8">
                  <c:v>1.9340873650087347</c:v>
                </c:pt>
                <c:pt idx="9">
                  <c:v>1.9601822852442117</c:v>
                </c:pt>
                <c:pt idx="10">
                  <c:v>1.9821652530049618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E-481E-99AD-A24AB5810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Ks/Kn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444106606606611"/>
          <c:y val="0.5236276276276276"/>
          <c:w val="0.51439039039039036"/>
          <c:h val="0.24576051051051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wedge'!$N$6</c:f>
              <c:strCache>
                <c:ptCount val="1"/>
                <c:pt idx="0">
                  <c:v>Sofianos et al. [6]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wedge'!$M$7:$M$17</c:f>
              <c:numCache>
                <c:formatCode>0.0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</c:numCache>
            </c:numRef>
          </c:xVal>
          <c:yVal>
            <c:numRef>
              <c:f>'results_Symmetric wedge'!$N$7:$N$17</c:f>
              <c:numCache>
                <c:formatCode>0.000</c:formatCode>
                <c:ptCount val="11"/>
                <c:pt idx="0">
                  <c:v>1.9239034622631812</c:v>
                </c:pt>
                <c:pt idx="1">
                  <c:v>1.9324447411300183</c:v>
                </c:pt>
                <c:pt idx="2">
                  <c:v>1.9423774991734057</c:v>
                </c:pt>
                <c:pt idx="3">
                  <c:v>1.9541205726780901</c:v>
                </c:pt>
                <c:pt idx="4">
                  <c:v>1.9682777726935954</c:v>
                </c:pt>
                <c:pt idx="5">
                  <c:v>1.9857529427423402</c:v>
                </c:pt>
                <c:pt idx="6">
                  <c:v>2.0079630772843573</c:v>
                </c:pt>
                <c:pt idx="7">
                  <c:v>2.0372631520576023</c:v>
                </c:pt>
                <c:pt idx="8">
                  <c:v>2.07787672408167</c:v>
                </c:pt>
                <c:pt idx="9">
                  <c:v>2.1382086843932551</c:v>
                </c:pt>
                <c:pt idx="10">
                  <c:v>2.2377229897998325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0-4F64-BEE2-23CA5F10963D}"/>
            </c:ext>
          </c:extLst>
        </c:ser>
        <c:ser>
          <c:idx val="1"/>
          <c:order val="1"/>
          <c:tx>
            <c:strRef>
              <c:f>'results_Symmetric wedge'!$O$6</c:f>
              <c:strCache>
                <c:ptCount val="1"/>
                <c:pt idx="0">
                  <c:v>Μ1-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'results_Symmetric wedge'!$M$7:$M$17</c:f>
              <c:numCache>
                <c:formatCode>0.0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</c:numCache>
            </c:numRef>
          </c:xVal>
          <c:yVal>
            <c:numRef>
              <c:f>'results_Symmetric wedge'!$O$7:$O$17</c:f>
              <c:numCache>
                <c:formatCode>0.000</c:formatCode>
                <c:ptCount val="11"/>
                <c:pt idx="0">
                  <c:v>1.9227806513418704</c:v>
                </c:pt>
                <c:pt idx="1">
                  <c:v>1.9313925575823701</c:v>
                </c:pt>
                <c:pt idx="2">
                  <c:v>1.9414074490655899</c:v>
                </c:pt>
                <c:pt idx="3">
                  <c:v>1.953247625410885</c:v>
                </c:pt>
                <c:pt idx="4">
                  <c:v>1.967521890548739</c:v>
                </c:pt>
                <c:pt idx="5">
                  <c:v>1.985141561834846</c:v>
                </c:pt>
                <c:pt idx="6">
                  <c:v>2.0075353507799014</c:v>
                </c:pt>
                <c:pt idx="7">
                  <c:v>2.0370777062890566</c:v>
                </c:pt>
                <c:pt idx="8">
                  <c:v>2.0780271097467984</c:v>
                </c:pt>
                <c:pt idx="9">
                  <c:v>2.1388579517798867</c:v>
                </c:pt>
                <c:pt idx="10">
                  <c:v>2.2391951356034601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E0-4F64-BEE2-23CA5F10963D}"/>
            </c:ext>
          </c:extLst>
        </c:ser>
        <c:ser>
          <c:idx val="2"/>
          <c:order val="2"/>
          <c:tx>
            <c:strRef>
              <c:f>'results_Symmetric wedge'!$P$6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wedge'!$M$7:$M$17</c:f>
              <c:numCache>
                <c:formatCode>0.0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</c:numCache>
            </c:numRef>
          </c:xVal>
          <c:yVal>
            <c:numRef>
              <c:f>'results_Symmetric wedge'!$P$7:$P$17</c:f>
              <c:numCache>
                <c:formatCode>0.000</c:formatCode>
                <c:ptCount val="11"/>
                <c:pt idx="0">
                  <c:v>1.0596347398448343</c:v>
                </c:pt>
                <c:pt idx="1">
                  <c:v>1.1722956570966641</c:v>
                </c:pt>
                <c:pt idx="2">
                  <c:v>1.2922168721786977</c:v>
                </c:pt>
                <c:pt idx="3">
                  <c:v>1.4206973505843119</c:v>
                </c:pt>
                <c:pt idx="4">
                  <c:v>1.5593271583021104</c:v>
                </c:pt>
                <c:pt idx="5">
                  <c:v>1.7100847158112631</c:v>
                </c:pt>
                <c:pt idx="6">
                  <c:v>1.8754780558414608</c:v>
                </c:pt>
                <c:pt idx="7">
                  <c:v>2.0587572748869283</c:v>
                </c:pt>
                <c:pt idx="8">
                  <c:v>2.2642479203008068</c:v>
                </c:pt>
                <c:pt idx="9">
                  <c:v>2.4979024706233832</c:v>
                </c:pt>
                <c:pt idx="10">
                  <c:v>2.7682755320192465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E0-4F64-BEE2-23CA5F10963D}"/>
            </c:ext>
          </c:extLst>
        </c:ser>
        <c:ser>
          <c:idx val="3"/>
          <c:order val="3"/>
          <c:tx>
            <c:strRef>
              <c:f>'results_Symmetric wedge'!$Q$6</c:f>
              <c:strCache>
                <c:ptCount val="1"/>
                <c:pt idx="0">
                  <c:v>M1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wedge'!$M$7:$M$17</c:f>
              <c:numCache>
                <c:formatCode>0.0</c:formatCode>
                <c:ptCount val="11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25</c:v>
                </c:pt>
              </c:numCache>
            </c:numRef>
          </c:xVal>
          <c:yVal>
            <c:numRef>
              <c:f>'results_Symmetric wedge'!$Q$7:$Q$17</c:f>
              <c:numCache>
                <c:formatCode>0.000</c:formatCode>
                <c:ptCount val="11"/>
                <c:pt idx="0">
                  <c:v>1.3556414798698397</c:v>
                </c:pt>
                <c:pt idx="1">
                  <c:v>1.3796893083356874</c:v>
                </c:pt>
                <c:pt idx="2">
                  <c:v>1.4076548232596338</c:v>
                </c:pt>
                <c:pt idx="3">
                  <c:v>1.4407172512291668</c:v>
                </c:pt>
                <c:pt idx="4">
                  <c:v>1.4805766122027779</c:v>
                </c:pt>
                <c:pt idx="5">
                  <c:v>1.5297776625718689</c:v>
                </c:pt>
                <c:pt idx="6">
                  <c:v>1.5923099266504404</c:v>
                </c:pt>
                <c:pt idx="7">
                  <c:v>1.6748037994262401</c:v>
                </c:pt>
                <c:pt idx="8">
                  <c:v>1.7891506353798279</c:v>
                </c:pt>
                <c:pt idx="9">
                  <c:v>1.9590142653116811</c:v>
                </c:pt>
                <c:pt idx="10">
                  <c:v>2.2391951356034556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1-4A9E-98EF-C9378A66D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Dilatancy angle </a:t>
                </a:r>
                <a:r>
                  <a:rPr lang="el-GR"/>
                  <a:t>ψ</a:t>
                </a:r>
                <a:r>
                  <a:rPr lang="en-US"/>
                  <a:t> [</a:t>
                </a:r>
                <a:r>
                  <a:rPr lang="en-US" baseline="30000"/>
                  <a:t>o</a:t>
                </a:r>
                <a:r>
                  <a:rPr lang="en-US"/>
                  <a:t>]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626553889529668"/>
          <c:y val="0.4586749249249249"/>
          <c:w val="0.39669870562604126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wedge'!$T$6</c:f>
              <c:strCache>
                <c:ptCount val="1"/>
                <c:pt idx="0">
                  <c:v>ΒΒ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wedge'!$S$7:$S$15</c:f>
              <c:numCache>
                <c:formatCode>0.000</c:formatCode>
                <c:ptCount val="9"/>
                <c:pt idx="0">
                  <c:v>6.831007915762493</c:v>
                </c:pt>
                <c:pt idx="1">
                  <c:v>6.5</c:v>
                </c:pt>
                <c:pt idx="2">
                  <c:v>6</c:v>
                </c:pt>
                <c:pt idx="3">
                  <c:v>5.5</c:v>
                </c:pt>
                <c:pt idx="4">
                  <c:v>5</c:v>
                </c:pt>
                <c:pt idx="5">
                  <c:v>4.5</c:v>
                </c:pt>
                <c:pt idx="6">
                  <c:v>4</c:v>
                </c:pt>
                <c:pt idx="7">
                  <c:v>3.5</c:v>
                </c:pt>
                <c:pt idx="8">
                  <c:v>3</c:v>
                </c:pt>
              </c:numCache>
            </c:numRef>
          </c:xVal>
          <c:yVal>
            <c:numRef>
              <c:f>'results_Symmetric wedge'!$T$7:$T$15</c:f>
              <c:numCache>
                <c:formatCode>0.000</c:formatCode>
                <c:ptCount val="9"/>
                <c:pt idx="0">
                  <c:v>1.9239034622631812</c:v>
                </c:pt>
                <c:pt idx="1">
                  <c:v>2.0590481652041674</c:v>
                </c:pt>
                <c:pt idx="2">
                  <c:v>2.2786310615089564</c:v>
                </c:pt>
                <c:pt idx="3">
                  <c:v>2.5305489729862631</c:v>
                </c:pt>
                <c:pt idx="4">
                  <c:v>2.8268900817257063</c:v>
                </c:pt>
                <c:pt idx="5">
                  <c:v>3.1829097336546246</c:v>
                </c:pt>
                <c:pt idx="6">
                  <c:v>3.6202699704449826</c:v>
                </c:pt>
                <c:pt idx="7">
                  <c:v>4.1718047889415786</c:v>
                </c:pt>
                <c:pt idx="8">
                  <c:v>4.8905699226041381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6-4748-AD51-AA97B777805D}"/>
            </c:ext>
          </c:extLst>
        </c:ser>
        <c:ser>
          <c:idx val="1"/>
          <c:order val="1"/>
          <c:tx>
            <c:strRef>
              <c:f>'results_Symmetric wedge'!$U$6</c:f>
              <c:strCache>
                <c:ptCount val="1"/>
                <c:pt idx="0">
                  <c:v>Μ1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wedge'!$S$7:$S$15</c:f>
              <c:numCache>
                <c:formatCode>0.000</c:formatCode>
                <c:ptCount val="9"/>
                <c:pt idx="0">
                  <c:v>6.831007915762493</c:v>
                </c:pt>
                <c:pt idx="1">
                  <c:v>6.5</c:v>
                </c:pt>
                <c:pt idx="2">
                  <c:v>6</c:v>
                </c:pt>
                <c:pt idx="3">
                  <c:v>5.5</c:v>
                </c:pt>
                <c:pt idx="4">
                  <c:v>5</c:v>
                </c:pt>
                <c:pt idx="5">
                  <c:v>4.5</c:v>
                </c:pt>
                <c:pt idx="6">
                  <c:v>4</c:v>
                </c:pt>
                <c:pt idx="7">
                  <c:v>3.5</c:v>
                </c:pt>
                <c:pt idx="8">
                  <c:v>3</c:v>
                </c:pt>
              </c:numCache>
            </c:numRef>
          </c:xVal>
          <c:yVal>
            <c:numRef>
              <c:f>'results_Symmetric wedge'!$U$7:$U$15</c:f>
              <c:numCache>
                <c:formatCode>0.000</c:formatCode>
                <c:ptCount val="9"/>
                <c:pt idx="0">
                  <c:v>1.3556414798698397</c:v>
                </c:pt>
                <c:pt idx="1">
                  <c:v>1.4858460366548418</c:v>
                </c:pt>
                <c:pt idx="2">
                  <c:v>1.7052482762875831</c:v>
                </c:pt>
                <c:pt idx="3">
                  <c:v>1.9618568808633243</c:v>
                </c:pt>
                <c:pt idx="4">
                  <c:v>2.2679480480391701</c:v>
                </c:pt>
                <c:pt idx="5">
                  <c:v>2.6398204291007867</c:v>
                </c:pt>
                <c:pt idx="6">
                  <c:v>3.1008391919821934</c:v>
                </c:pt>
                <c:pt idx="7">
                  <c:v>3.6864281759473325</c:v>
                </c:pt>
                <c:pt idx="8">
                  <c:v>4.4533079822490906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6-4748-AD51-AA97B777805D}"/>
            </c:ext>
          </c:extLst>
        </c:ser>
        <c:ser>
          <c:idx val="2"/>
          <c:order val="2"/>
          <c:tx>
            <c:strRef>
              <c:f>'results_Symmetric wedge'!$V$6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wedge'!$S$7:$S$15</c:f>
              <c:numCache>
                <c:formatCode>0.000</c:formatCode>
                <c:ptCount val="9"/>
                <c:pt idx="0">
                  <c:v>6.831007915762493</c:v>
                </c:pt>
                <c:pt idx="1">
                  <c:v>6.5</c:v>
                </c:pt>
                <c:pt idx="2">
                  <c:v>6</c:v>
                </c:pt>
                <c:pt idx="3">
                  <c:v>5.5</c:v>
                </c:pt>
                <c:pt idx="4">
                  <c:v>5</c:v>
                </c:pt>
                <c:pt idx="5">
                  <c:v>4.5</c:v>
                </c:pt>
                <c:pt idx="6">
                  <c:v>4</c:v>
                </c:pt>
                <c:pt idx="7">
                  <c:v>3.5</c:v>
                </c:pt>
                <c:pt idx="8">
                  <c:v>3</c:v>
                </c:pt>
              </c:numCache>
            </c:numRef>
          </c:xVal>
          <c:yVal>
            <c:numRef>
              <c:f>'results_Symmetric wedge'!$V$7:$V$15</c:f>
              <c:numCache>
                <c:formatCode>0.000</c:formatCode>
                <c:ptCount val="9"/>
                <c:pt idx="0">
                  <c:v>1.0596347398448343</c:v>
                </c:pt>
                <c:pt idx="1">
                  <c:v>1.074625702918548</c:v>
                </c:pt>
                <c:pt idx="2">
                  <c:v>1.0948961926953626</c:v>
                </c:pt>
                <c:pt idx="3">
                  <c:v>1.1130349196798484</c:v>
                </c:pt>
                <c:pt idx="4">
                  <c:v>1.1294516109573154</c:v>
                </c:pt>
                <c:pt idx="5">
                  <c:v>1.1443962798038947</c:v>
                </c:pt>
                <c:pt idx="6">
                  <c:v>1.1580484743980186</c:v>
                </c:pt>
                <c:pt idx="7">
                  <c:v>1.1705509484100927</c:v>
                </c:pt>
                <c:pt idx="8">
                  <c:v>1.1820225131581903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6-4748-AD51-AA97B777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Symmetric wedge height [m]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31143380689865"/>
          <c:y val="9.5774642752989206E-2"/>
          <c:w val="0.33010726142192298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wedge'!$Z$6</c:f>
              <c:strCache>
                <c:ptCount val="1"/>
                <c:pt idx="0">
                  <c:v>ΒΒ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wedge'!$Y$7:$Y$17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wedge'!$Z$7:$Z$17</c:f>
              <c:numCache>
                <c:formatCode>0.000</c:formatCode>
                <c:ptCount val="11"/>
                <c:pt idx="0">
                  <c:v>0</c:v>
                </c:pt>
                <c:pt idx="1">
                  <c:v>8.292739629672384E-2</c:v>
                </c:pt>
                <c:pt idx="2">
                  <c:v>0.54317141278833792</c:v>
                </c:pt>
                <c:pt idx="3">
                  <c:v>1.0034154292799529</c:v>
                </c:pt>
                <c:pt idx="4">
                  <c:v>1.4636594457715668</c:v>
                </c:pt>
                <c:pt idx="5">
                  <c:v>1.9239034622631812</c:v>
                </c:pt>
                <c:pt idx="6">
                  <c:v>2.3841474787547958</c:v>
                </c:pt>
                <c:pt idx="7">
                  <c:v>2.8443914952464091</c:v>
                </c:pt>
                <c:pt idx="8">
                  <c:v>3.3046355117380242</c:v>
                </c:pt>
                <c:pt idx="9">
                  <c:v>3.7648795282296379</c:v>
                </c:pt>
                <c:pt idx="10">
                  <c:v>4.2251235447212538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A-47AC-9081-0EDEAF74F1CE}"/>
            </c:ext>
          </c:extLst>
        </c:ser>
        <c:ser>
          <c:idx val="1"/>
          <c:order val="1"/>
          <c:tx>
            <c:strRef>
              <c:f>'results_Symmetric wedge'!$AA$6</c:f>
              <c:strCache>
                <c:ptCount val="1"/>
                <c:pt idx="0">
                  <c:v>Μ1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wedge'!$Y$7:$Y$17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wedge'!$AA$7:$AA$17</c:f>
              <c:numCache>
                <c:formatCode>0.000</c:formatCode>
                <c:ptCount val="11"/>
                <c:pt idx="0">
                  <c:v>4.6222718122967223E-2</c:v>
                </c:pt>
                <c:pt idx="1">
                  <c:v>0.1049122580657413</c:v>
                </c:pt>
                <c:pt idx="2">
                  <c:v>0.19022768068321957</c:v>
                </c:pt>
                <c:pt idx="3">
                  <c:v>0.48681817542340988</c:v>
                </c:pt>
                <c:pt idx="4">
                  <c:v>0.92400681540065321</c:v>
                </c:pt>
                <c:pt idx="5">
                  <c:v>1.3556414798698397</c:v>
                </c:pt>
                <c:pt idx="6">
                  <c:v>1.783077444346471</c:v>
                </c:pt>
                <c:pt idx="7">
                  <c:v>2.2075191710366853</c:v>
                </c:pt>
                <c:pt idx="8">
                  <c:v>2.629930334410532</c:v>
                </c:pt>
                <c:pt idx="9">
                  <c:v>3.0510094727608279</c:v>
                </c:pt>
                <c:pt idx="10">
                  <c:v>3.4710841251097273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A-47AC-9081-0EDEAF74F1CE}"/>
            </c:ext>
          </c:extLst>
        </c:ser>
        <c:ser>
          <c:idx val="2"/>
          <c:order val="2"/>
          <c:tx>
            <c:strRef>
              <c:f>'results_Symmetric wedge'!$AB$6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wedge'!$Y$7:$Y$17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'results_Symmetric wedge'!$AB$7:$AB$17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0.24297225724753968</c:v>
                </c:pt>
                <c:pt idx="3">
                  <c:v>0.77833877955754116</c:v>
                </c:pt>
                <c:pt idx="4">
                  <c:v>0.98169312873196002</c:v>
                </c:pt>
                <c:pt idx="5">
                  <c:v>1.0596347398448343</c:v>
                </c:pt>
                <c:pt idx="6">
                  <c:v>1.1009299988966972</c:v>
                </c:pt>
                <c:pt idx="7">
                  <c:v>1.1265610429350221</c:v>
                </c:pt>
                <c:pt idx="8">
                  <c:v>1.1440522169990361</c:v>
                </c:pt>
                <c:pt idx="9">
                  <c:v>1.1567676155173654</c:v>
                </c:pt>
                <c:pt idx="10">
                  <c:v>1.1664347627638514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A-47AC-9081-0EDEAF74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Horizontal/Vertical stress ratio, k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51195700769154"/>
          <c:y val="7.2626494604841066E-2"/>
          <c:w val="0.33010726142192298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78743224282942"/>
          <c:y val="5.0925925925925923E-2"/>
          <c:w val="0.72829907459230692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'results_Symmetric wedge'!$AF$6</c:f>
              <c:strCache>
                <c:ptCount val="1"/>
                <c:pt idx="0">
                  <c:v>ΒΒ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wedge'!$AE$7:$AE$17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wedge'!$AF$7:$AF$17</c:f>
              <c:numCache>
                <c:formatCode>0.000</c:formatCode>
                <c:ptCount val="11"/>
                <c:pt idx="0">
                  <c:v>0</c:v>
                </c:pt>
                <c:pt idx="1">
                  <c:v>0.41858009404809937</c:v>
                </c:pt>
                <c:pt idx="2">
                  <c:v>0.81893220373467601</c:v>
                </c:pt>
                <c:pt idx="3">
                  <c:v>1.2024502728248969</c:v>
                </c:pt>
                <c:pt idx="4">
                  <c:v>1.5703937232078347</c:v>
                </c:pt>
                <c:pt idx="5">
                  <c:v>1.9239034622631812</c:v>
                </c:pt>
                <c:pt idx="6">
                  <c:v>2.2640156635615001</c:v>
                </c:pt>
                <c:pt idx="7">
                  <c:v>2.5916736743788666</c:v>
                </c:pt>
                <c:pt idx="8">
                  <c:v>2.9077383408147766</c:v>
                </c:pt>
                <c:pt idx="9">
                  <c:v>3.212996990848521</c:v>
                </c:pt>
                <c:pt idx="10">
                  <c:v>3.5081712748560503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A-47AC-9081-0EDEAF74F1CE}"/>
            </c:ext>
          </c:extLst>
        </c:ser>
        <c:ser>
          <c:idx val="1"/>
          <c:order val="1"/>
          <c:tx>
            <c:strRef>
              <c:f>'results_Symmetric wedge'!$AG$6</c:f>
              <c:strCache>
                <c:ptCount val="1"/>
                <c:pt idx="0">
                  <c:v>Μ1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'results_Symmetric wedge'!$AE$7:$AE$17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wedge'!$AG$7:$AG$17</c:f>
              <c:numCache>
                <c:formatCode>0.000</c:formatCode>
                <c:ptCount val="11"/>
                <c:pt idx="0">
                  <c:v>0</c:v>
                </c:pt>
                <c:pt idx="1">
                  <c:v>0.27931687054232235</c:v>
                </c:pt>
                <c:pt idx="2">
                  <c:v>0.55429345405852459</c:v>
                </c:pt>
                <c:pt idx="3">
                  <c:v>0.82518783843349597</c:v>
                </c:pt>
                <c:pt idx="4">
                  <c:v>1.0922400657514395</c:v>
                </c:pt>
                <c:pt idx="5">
                  <c:v>1.3556414798698397</c:v>
                </c:pt>
                <c:pt idx="6">
                  <c:v>1.6156859100389604</c:v>
                </c:pt>
                <c:pt idx="7">
                  <c:v>1.8724581847692361</c:v>
                </c:pt>
                <c:pt idx="8">
                  <c:v>2.126312528635812</c:v>
                </c:pt>
                <c:pt idx="9">
                  <c:v>2.3772691397434573</c:v>
                </c:pt>
                <c:pt idx="10">
                  <c:v>2.6256993547808918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A-47AC-9081-0EDEAF74F1CE}"/>
            </c:ext>
          </c:extLst>
        </c:ser>
        <c:ser>
          <c:idx val="2"/>
          <c:order val="2"/>
          <c:tx>
            <c:strRef>
              <c:f>'results_Symmetric wedge'!$AH$6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'results_Symmetric wedge'!$AE$7:$AE$17</c:f>
              <c:numCache>
                <c:formatCode>General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</c:numCache>
            </c:numRef>
          </c:xVal>
          <c:yVal>
            <c:numRef>
              <c:f>'results_Symmetric wedge'!$AH$7:$AH$17</c:f>
              <c:numCache>
                <c:formatCode>0.000</c:formatCode>
                <c:ptCount val="11"/>
                <c:pt idx="0">
                  <c:v>0.84601264778848129</c:v>
                </c:pt>
                <c:pt idx="1">
                  <c:v>0.88712270239361246</c:v>
                </c:pt>
                <c:pt idx="2">
                  <c:v>0.92899235206520903</c:v>
                </c:pt>
                <c:pt idx="3">
                  <c:v>0.97167156050447556</c:v>
                </c:pt>
                <c:pt idx="4">
                  <c:v>1.0152045953374165</c:v>
                </c:pt>
                <c:pt idx="5">
                  <c:v>1.0596347398448343</c:v>
                </c:pt>
                <c:pt idx="6">
                  <c:v>1.105023535257831</c:v>
                </c:pt>
                <c:pt idx="7">
                  <c:v>1.1514121377705573</c:v>
                </c:pt>
                <c:pt idx="8">
                  <c:v>1.198875344513888</c:v>
                </c:pt>
                <c:pt idx="9">
                  <c:v>1.2474605970895911</c:v>
                </c:pt>
                <c:pt idx="10">
                  <c:v>1.297251243475158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6A-47AC-9081-0EDEAF74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  <c:max val="35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Friction angle</a:t>
                </a:r>
                <a:r>
                  <a:rPr lang="el-GR"/>
                  <a:t>, φ [</a:t>
                </a:r>
                <a:r>
                  <a:rPr lang="en-US" baseline="30000"/>
                  <a:t>o</a:t>
                </a:r>
                <a:r>
                  <a:rPr lang="en-US"/>
                  <a:t>]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51195700769154"/>
          <c:y val="7.2626494604841066E-2"/>
          <c:w val="0.33010726142192298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34690512932133E-2"/>
          <c:y val="4.6296192428001287E-2"/>
          <c:w val="0.84555190651419831"/>
          <c:h val="0.787339014130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'results_Asymmetric wedge'!$B$7</c:f>
              <c:strCache>
                <c:ptCount val="1"/>
                <c:pt idx="0">
                  <c:v>Brady &amp; Brown[5]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'results_Asymmetric wedge'!$A$8:$A$16</c:f>
              <c:numCache>
                <c:formatCode>General</c:formatCode>
                <c:ptCount val="9"/>
                <c:pt idx="0">
                  <c:v>-5</c:v>
                </c:pt>
                <c:pt idx="1">
                  <c:v>-2.5</c:v>
                </c:pt>
                <c:pt idx="2">
                  <c:v>-1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'results_Asymmetric wedge'!$B$8:$B$16</c:f>
              <c:numCache>
                <c:formatCode>0.000</c:formatCode>
                <c:ptCount val="9"/>
                <c:pt idx="0">
                  <c:v>44.328521984755341</c:v>
                </c:pt>
                <c:pt idx="1">
                  <c:v>24.632675687500416</c:v>
                </c:pt>
                <c:pt idx="2">
                  <c:v>18.803278116439092</c:v>
                </c:pt>
                <c:pt idx="3">
                  <c:v>16.088275594293751</c:v>
                </c:pt>
                <c:pt idx="4">
                  <c:v>8.9952521638249188</c:v>
                </c:pt>
                <c:pt idx="5">
                  <c:v>6.1040409136632245</c:v>
                </c:pt>
                <c:pt idx="6">
                  <c:v>4.4285650386273927</c:v>
                </c:pt>
                <c:pt idx="7">
                  <c:v>3.1277782914259102</c:v>
                </c:pt>
                <c:pt idx="8">
                  <c:v>1.9239034622631812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5-48F9-BB5A-B8B966466AD1}"/>
            </c:ext>
          </c:extLst>
        </c:ser>
        <c:ser>
          <c:idx val="2"/>
          <c:order val="1"/>
          <c:tx>
            <c:strRef>
              <c:f>'results_Asymmetric wedge'!$D$7</c:f>
              <c:strCache>
                <c:ptCount val="1"/>
                <c:pt idx="0">
                  <c:v>Μ2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'results_Asymmetric wedge'!$A$8:$A$16</c:f>
              <c:numCache>
                <c:formatCode>General</c:formatCode>
                <c:ptCount val="9"/>
                <c:pt idx="0">
                  <c:v>-5</c:v>
                </c:pt>
                <c:pt idx="1">
                  <c:v>-2.5</c:v>
                </c:pt>
                <c:pt idx="2">
                  <c:v>-1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'results_Asymmetric wedge'!$D$8:$D$16</c:f>
              <c:numCache>
                <c:formatCode>0.000</c:formatCode>
                <c:ptCount val="9"/>
                <c:pt idx="0">
                  <c:v>3.0573044937374889</c:v>
                </c:pt>
                <c:pt idx="1">
                  <c:v>2.6993167401134381</c:v>
                </c:pt>
                <c:pt idx="2">
                  <c:v>2.5187424597374943</c:v>
                </c:pt>
                <c:pt idx="3">
                  <c:v>2.409751450675194</c:v>
                </c:pt>
                <c:pt idx="4">
                  <c:v>1.963230019360598</c:v>
                </c:pt>
                <c:pt idx="5">
                  <c:v>1.6477123863796355</c:v>
                </c:pt>
                <c:pt idx="6">
                  <c:v>1.4119952812482914</c:v>
                </c:pt>
                <c:pt idx="7">
                  <c:v>1.2227886027376988</c:v>
                </c:pt>
                <c:pt idx="8">
                  <c:v>1.0596347398448343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95-48F9-BB5A-B8B966466AD1}"/>
            </c:ext>
          </c:extLst>
        </c:ser>
        <c:ser>
          <c:idx val="3"/>
          <c:order val="2"/>
          <c:tx>
            <c:strRef>
              <c:f>'results_Asymmetric wedge'!$E$7</c:f>
              <c:strCache>
                <c:ptCount val="1"/>
                <c:pt idx="0">
                  <c:v>M1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'results_Asymmetric wedge'!$A$8:$A$16</c:f>
              <c:numCache>
                <c:formatCode>General</c:formatCode>
                <c:ptCount val="9"/>
                <c:pt idx="0">
                  <c:v>-5</c:v>
                </c:pt>
                <c:pt idx="1">
                  <c:v>-2.5</c:v>
                </c:pt>
                <c:pt idx="2">
                  <c:v>-1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'results_Asymmetric wedge'!$E$8:$E$16</c:f>
              <c:numCache>
                <c:formatCode>0.000</c:formatCode>
                <c:ptCount val="9"/>
                <c:pt idx="0">
                  <c:v>7.8872544777923075</c:v>
                </c:pt>
                <c:pt idx="1">
                  <c:v>6.0736341406322403</c:v>
                </c:pt>
                <c:pt idx="2">
                  <c:v>5.1560509719503989</c:v>
                </c:pt>
                <c:pt idx="3">
                  <c:v>4.6021958475656968</c:v>
                </c:pt>
                <c:pt idx="4">
                  <c:v>4.2308551563667312</c:v>
                </c:pt>
                <c:pt idx="5">
                  <c:v>4.0544970832496663</c:v>
                </c:pt>
                <c:pt idx="6">
                  <c:v>3.5844593792673276</c:v>
                </c:pt>
                <c:pt idx="7">
                  <c:v>2.3792528228366554</c:v>
                </c:pt>
                <c:pt idx="8">
                  <c:v>1.3556414798698397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95-48F9-BB5A-B8B966466AD1}"/>
            </c:ext>
          </c:extLst>
        </c:ser>
        <c:ser>
          <c:idx val="1"/>
          <c:order val="3"/>
          <c:tx>
            <c:strRef>
              <c:f>'results_Asymmetric wedge'!$C$7</c:f>
              <c:strCache>
                <c:ptCount val="1"/>
                <c:pt idx="0">
                  <c:v>Μ1-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'results_Asymmetric wedge'!$A$8:$A$16</c:f>
              <c:numCache>
                <c:formatCode>General</c:formatCode>
                <c:ptCount val="9"/>
                <c:pt idx="0">
                  <c:v>-5</c:v>
                </c:pt>
                <c:pt idx="1">
                  <c:v>-2.5</c:v>
                </c:pt>
                <c:pt idx="2">
                  <c:v>-1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25</c:v>
                </c:pt>
              </c:numCache>
            </c:numRef>
          </c:xVal>
          <c:yVal>
            <c:numRef>
              <c:f>'results_Asymmetric wedge'!$C$8:$C$16</c:f>
              <c:numCache>
                <c:formatCode>0.000</c:formatCode>
                <c:ptCount val="9"/>
                <c:pt idx="0">
                  <c:v>6.0899543954714153</c:v>
                </c:pt>
                <c:pt idx="1">
                  <c:v>4.4027686693182613</c:v>
                </c:pt>
                <c:pt idx="2">
                  <c:v>3.5306563303958436</c:v>
                </c:pt>
                <c:pt idx="3">
                  <c:v>2.9973887146704921</c:v>
                </c:pt>
                <c:pt idx="4">
                  <c:v>2.6475352047098326</c:v>
                </c:pt>
                <c:pt idx="5">
                  <c:v>2.4127179451070475</c:v>
                </c:pt>
                <c:pt idx="6">
                  <c:v>2.239968318099387</c:v>
                </c:pt>
                <c:pt idx="7">
                  <c:v>2.0944152941067102</c:v>
                </c:pt>
                <c:pt idx="8">
                  <c:v>1.9227806513418704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AD-45CE-A9A5-FD096B81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780816"/>
        <c:axId val="1088920128"/>
      </c:scatterChart>
      <c:valAx>
        <c:axId val="11217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non</a:t>
                </a:r>
                <a:r>
                  <a:rPr lang="en-US" baseline="0"/>
                  <a:t> </a:t>
                </a:r>
                <a:r>
                  <a:rPr lang="en-US"/>
                  <a:t>symmetric wedge with right angle </a:t>
                </a:r>
                <a:r>
                  <a:rPr lang="el-GR"/>
                  <a:t>α [</a:t>
                </a:r>
                <a:r>
                  <a:rPr lang="el-GR" baseline="30000"/>
                  <a:t>ο</a:t>
                </a:r>
                <a:r>
                  <a:rPr lang="el-GR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088920128"/>
        <c:crosses val="autoZero"/>
        <c:crossBetween val="midCat"/>
      </c:valAx>
      <c:valAx>
        <c:axId val="1088920128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217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268337853822903"/>
          <c:y val="0.10040427238261884"/>
          <c:w val="0.33069288948896564"/>
          <c:h val="0.369865602416136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68911267397212"/>
          <c:y val="5.0925925925925923E-2"/>
          <c:w val="0.7782817355545690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Unwedge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results_tetrahedral!$A$5:$A$25</c:f>
              <c:numCache>
                <c:formatCode>General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</c:numCache>
            </c:numRef>
          </c:xVal>
          <c:yVal>
            <c:numRef>
              <c:f>results_tetrahedral!$B$5:$B$25</c:f>
              <c:numCache>
                <c:formatCode>General</c:formatCode>
                <c:ptCount val="21"/>
                <c:pt idx="0">
                  <c:v>0.93100000000000005</c:v>
                </c:pt>
                <c:pt idx="1">
                  <c:v>0.996</c:v>
                </c:pt>
                <c:pt idx="2">
                  <c:v>1.0620000000000001</c:v>
                </c:pt>
                <c:pt idx="3">
                  <c:v>1.129</c:v>
                </c:pt>
                <c:pt idx="4">
                  <c:v>1.1970000000000001</c:v>
                </c:pt>
                <c:pt idx="5">
                  <c:v>1.2649999999999999</c:v>
                </c:pt>
                <c:pt idx="6">
                  <c:v>1.3340000000000001</c:v>
                </c:pt>
                <c:pt idx="7">
                  <c:v>1.4039999999999999</c:v>
                </c:pt>
                <c:pt idx="8">
                  <c:v>1.4750000000000001</c:v>
                </c:pt>
                <c:pt idx="9">
                  <c:v>1.5469999999999999</c:v>
                </c:pt>
                <c:pt idx="10">
                  <c:v>1.621</c:v>
                </c:pt>
                <c:pt idx="11">
                  <c:v>1.6950000000000001</c:v>
                </c:pt>
                <c:pt idx="12">
                  <c:v>1.7709999999999999</c:v>
                </c:pt>
                <c:pt idx="13">
                  <c:v>1.8480000000000001</c:v>
                </c:pt>
                <c:pt idx="14">
                  <c:v>1.9259999999999999</c:v>
                </c:pt>
                <c:pt idx="15">
                  <c:v>2.0059999999999998</c:v>
                </c:pt>
                <c:pt idx="16">
                  <c:v>2.0880000000000001</c:v>
                </c:pt>
                <c:pt idx="17">
                  <c:v>2.1720000000000002</c:v>
                </c:pt>
                <c:pt idx="18">
                  <c:v>2.2570000000000001</c:v>
                </c:pt>
                <c:pt idx="19">
                  <c:v>2.3439999999999999</c:v>
                </c:pt>
                <c:pt idx="20">
                  <c:v>2.4329999999999998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11-48A3-A966-B994CED46672}"/>
            </c:ext>
          </c:extLst>
        </c:ser>
        <c:ser>
          <c:idx val="1"/>
          <c:order val="1"/>
          <c:tx>
            <c:v>This work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results_tetrahedral!$A$5:$A$25</c:f>
              <c:numCache>
                <c:formatCode>General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</c:numCache>
            </c:numRef>
          </c:xVal>
          <c:yVal>
            <c:numRef>
              <c:f>results_tetrahedral!$C$5:$C$25</c:f>
              <c:numCache>
                <c:formatCode>0.000</c:formatCode>
                <c:ptCount val="21"/>
                <c:pt idx="0">
                  <c:v>0.91234548709040963</c:v>
                </c:pt>
                <c:pt idx="1">
                  <c:v>0.97686237244163976</c:v>
                </c:pt>
                <c:pt idx="2">
                  <c:v>1.0420776327545553</c:v>
                </c:pt>
                <c:pt idx="3">
                  <c:v>1.1080542806730915</c:v>
                </c:pt>
                <c:pt idx="4">
                  <c:v>1.1748216245546743</c:v>
                </c:pt>
                <c:pt idx="5">
                  <c:v>1.2424311818215232</c:v>
                </c:pt>
                <c:pt idx="6">
                  <c:v>1.3109394365701179</c:v>
                </c:pt>
                <c:pt idx="7">
                  <c:v>1.3804008164143147</c:v>
                </c:pt>
                <c:pt idx="8">
                  <c:v>1.4508929707772256</c:v>
                </c:pt>
                <c:pt idx="9">
                  <c:v>1.5224851171412168</c:v>
                </c:pt>
                <c:pt idx="10">
                  <c:v>1.5952419189459088</c:v>
                </c:pt>
                <c:pt idx="11">
                  <c:v>1.6692157285448024</c:v>
                </c:pt>
                <c:pt idx="12">
                  <c:v>1.744492521811831</c:v>
                </c:pt>
                <c:pt idx="13">
                  <c:v>1.8211747085915746</c:v>
                </c:pt>
                <c:pt idx="14">
                  <c:v>1.8993440089424198</c:v>
                </c:pt>
                <c:pt idx="15">
                  <c:v>1.9790695424253273</c:v>
                </c:pt>
                <c:pt idx="16">
                  <c:v>2.0604585820996792</c:v>
                </c:pt>
                <c:pt idx="17">
                  <c:v>2.1435785089371535</c:v>
                </c:pt>
                <c:pt idx="18">
                  <c:v>2.2285750459480509</c:v>
                </c:pt>
                <c:pt idx="19">
                  <c:v>2.3155448252920907</c:v>
                </c:pt>
                <c:pt idx="20">
                  <c:v>2.4046383972552969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11-48A3-A966-B994CED46672}"/>
            </c:ext>
          </c:extLst>
        </c:ser>
        <c:ser>
          <c:idx val="2"/>
          <c:order val="2"/>
          <c:tx>
            <c:v>This work, Pull out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results_tetrahedral!$A$5:$A$25</c:f>
              <c:numCache>
                <c:formatCode>General</c:formatCode>
                <c:ptCount val="21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</c:numCache>
            </c:numRef>
          </c:xVal>
          <c:yVal>
            <c:numRef>
              <c:f>results_tetrahedral!$E$5:$E$25</c:f>
              <c:numCache>
                <c:formatCode>0.000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0.13187461780083171</c:v>
                </c:pt>
                <c:pt idx="9">
                  <c:v>0.68740169355119984</c:v>
                </c:pt>
                <c:pt idx="10">
                  <c:v>1.2385905826607382</c:v>
                </c:pt>
                <c:pt idx="11">
                  <c:v>1.7828737592100692</c:v>
                </c:pt>
                <c:pt idx="12">
                  <c:v>2.3183160643291951</c:v>
                </c:pt>
                <c:pt idx="13">
                  <c:v>2.8482738127342464</c:v>
                </c:pt>
                <c:pt idx="14">
                  <c:v>3.3747613631114293</c:v>
                </c:pt>
                <c:pt idx="15">
                  <c:v>3.9004875817866709</c:v>
                </c:pt>
                <c:pt idx="16">
                  <c:v>4.4240350644363238</c:v>
                </c:pt>
                <c:pt idx="17">
                  <c:v>4.9533277184157276</c:v>
                </c:pt>
                <c:pt idx="18">
                  <c:v>5.4734739491456654</c:v>
                </c:pt>
                <c:pt idx="19">
                  <c:v>5.9888482264849667</c:v>
                </c:pt>
                <c:pt idx="20">
                  <c:v>6.4991269923181534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11-48A3-A966-B994CED4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032207"/>
        <c:axId val="692017807"/>
      </c:scatterChart>
      <c:valAx>
        <c:axId val="69203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Friction angle</a:t>
                </a:r>
                <a:r>
                  <a:rPr lang="el-GR"/>
                  <a:t>, φ [</a:t>
                </a:r>
                <a:r>
                  <a:rPr lang="en-US" baseline="30000"/>
                  <a:t>o</a:t>
                </a:r>
                <a:r>
                  <a:rPr lang="en-US"/>
                  <a:t>]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17807"/>
        <c:crosses val="autoZero"/>
        <c:crossBetween val="midCat"/>
      </c:valAx>
      <c:valAx>
        <c:axId val="6920178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3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57166444698864"/>
          <c:y val="7.2626494604841066E-2"/>
          <c:w val="0.34107545045045051"/>
          <c:h val="0.4314256756756756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22660402743774"/>
          <c:y val="5.0925925925925923E-2"/>
          <c:w val="0.7137660733584773"/>
          <c:h val="0.74350320793234181"/>
        </c:manualLayout>
      </c:layout>
      <c:scatterChart>
        <c:scatterStyle val="smoothMarker"/>
        <c:varyColors val="0"/>
        <c:ser>
          <c:idx val="0"/>
          <c:order val="0"/>
          <c:tx>
            <c:v>Unwedge</c:v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results_tetrahedral!$P$5:$P$15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results_tetrahedral!$Q$5:$Q$15</c:f>
              <c:numCache>
                <c:formatCode>General</c:formatCode>
                <c:ptCount val="11"/>
                <c:pt idx="0">
                  <c:v>2.0059999999999998</c:v>
                </c:pt>
                <c:pt idx="1">
                  <c:v>2.0059999999999998</c:v>
                </c:pt>
                <c:pt idx="2">
                  <c:v>2.0059999999999998</c:v>
                </c:pt>
                <c:pt idx="3">
                  <c:v>2.0059999999999998</c:v>
                </c:pt>
                <c:pt idx="4">
                  <c:v>2.0059999999999998</c:v>
                </c:pt>
                <c:pt idx="5">
                  <c:v>2.0059999999999998</c:v>
                </c:pt>
                <c:pt idx="6">
                  <c:v>2.0059999999999998</c:v>
                </c:pt>
                <c:pt idx="7">
                  <c:v>2.0059999999999998</c:v>
                </c:pt>
                <c:pt idx="8">
                  <c:v>2.0059999999999998</c:v>
                </c:pt>
                <c:pt idx="9">
                  <c:v>2.0059999999999998</c:v>
                </c:pt>
                <c:pt idx="10">
                  <c:v>2.0059999999999998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1D-4A16-8BE1-8FF5B08524C8}"/>
            </c:ext>
          </c:extLst>
        </c:ser>
        <c:ser>
          <c:idx val="1"/>
          <c:order val="1"/>
          <c:tx>
            <c:v>This work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results_tetrahedral!$P$5:$P$15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results_tetrahedral!$R$5:$R$15</c:f>
              <c:numCache>
                <c:formatCode>0.000</c:formatCode>
                <c:ptCount val="11"/>
                <c:pt idx="0">
                  <c:v>1.93614707326791</c:v>
                </c:pt>
                <c:pt idx="1">
                  <c:v>1.9790695424253273</c:v>
                </c:pt>
                <c:pt idx="2">
                  <c:v>1.9877316423705387</c:v>
                </c:pt>
                <c:pt idx="3">
                  <c:v>1.9914519666625945</c:v>
                </c:pt>
                <c:pt idx="4">
                  <c:v>1.993520891673056</c:v>
                </c:pt>
                <c:pt idx="5">
                  <c:v>1.9948382541474616</c:v>
                </c:pt>
                <c:pt idx="6">
                  <c:v>1.9957506271591732</c:v>
                </c:pt>
                <c:pt idx="7">
                  <c:v>1.9964198842686867</c:v>
                </c:pt>
                <c:pt idx="8">
                  <c:v>1.9969317739602244</c:v>
                </c:pt>
                <c:pt idx="9">
                  <c:v>1.9973359616022781</c:v>
                </c:pt>
                <c:pt idx="10">
                  <c:v>1.9976632026216603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1D-4A16-8BE1-8FF5B085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032207"/>
        <c:axId val="692017807"/>
      </c:scatterChart>
      <c:valAx>
        <c:axId val="69203220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Ks/Kn</a:t>
                </a:r>
                <a:endParaRPr lang="el-G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17807"/>
        <c:crosses val="autoZero"/>
        <c:crossBetween val="midCat"/>
      </c:valAx>
      <c:valAx>
        <c:axId val="692017807"/>
        <c:scaling>
          <c:orientation val="minMax"/>
          <c:max val="2.1"/>
          <c:min val="1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Safety factor</a:t>
                </a:r>
                <a:endParaRPr lang="el-GR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3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385620915032678"/>
          <c:y val="0.1626151939340916"/>
          <c:w val="0.31056456456456455"/>
          <c:h val="0.16089639639639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68911267397212"/>
          <c:y val="5.0925925925925923E-2"/>
          <c:w val="0.7782817355545690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Unwedge, 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results_tetrahedral!$H$5:$H$15</c:f>
              <c:numCache>
                <c:formatCode>General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</c:numCache>
            </c:numRef>
          </c:xVal>
          <c:yVal>
            <c:numRef>
              <c:f>results_tetrahedral!$I$5:$I$15</c:f>
              <c:numCache>
                <c:formatCode>General</c:formatCode>
                <c:ptCount val="11"/>
                <c:pt idx="0">
                  <c:v>2.0059999999999998</c:v>
                </c:pt>
                <c:pt idx="1">
                  <c:v>2.2789999999999999</c:v>
                </c:pt>
                <c:pt idx="2">
                  <c:v>2.5510000000000002</c:v>
                </c:pt>
                <c:pt idx="3">
                  <c:v>2.823</c:v>
                </c:pt>
                <c:pt idx="4">
                  <c:v>3.0960000000000001</c:v>
                </c:pt>
                <c:pt idx="5">
                  <c:v>3.3679999999999999</c:v>
                </c:pt>
                <c:pt idx="6" formatCode="0.000">
                  <c:v>3.6450120377417092</c:v>
                </c:pt>
                <c:pt idx="7" formatCode="0.000">
                  <c:v>3.9581520536028036</c:v>
                </c:pt>
                <c:pt idx="8" formatCode="0.000">
                  <c:v>4.2532677266410577</c:v>
                </c:pt>
                <c:pt idx="9" formatCode="0.000">
                  <c:v>4.5619139987220381</c:v>
                </c:pt>
                <c:pt idx="10" formatCode="0.000">
                  <c:v>4.8516833380228492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D-47A9-8F10-CC38A7F3D1B9}"/>
            </c:ext>
          </c:extLst>
        </c:ser>
        <c:ser>
          <c:idx val="1"/>
          <c:order val="1"/>
          <c:tx>
            <c:v>This work, c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results_tetrahedral!$H$5:$H$15</c:f>
              <c:numCache>
                <c:formatCode>General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</c:numCache>
            </c:numRef>
          </c:xVal>
          <c:yVal>
            <c:numRef>
              <c:f>results_tetrahedral!$J$5:$J$15</c:f>
              <c:numCache>
                <c:formatCode>0.000</c:formatCode>
                <c:ptCount val="11"/>
                <c:pt idx="0">
                  <c:v>1.9790695424253273</c:v>
                </c:pt>
                <c:pt idx="1">
                  <c:v>2.2515702309167405</c:v>
                </c:pt>
                <c:pt idx="2">
                  <c:v>2.5265166179821277</c:v>
                </c:pt>
                <c:pt idx="3">
                  <c:v>2.8025470225659994</c:v>
                </c:pt>
                <c:pt idx="4">
                  <c:v>3.0786746580024138</c:v>
                </c:pt>
                <c:pt idx="5">
                  <c:v>3.3628512301395852</c:v>
                </c:pt>
                <c:pt idx="6">
                  <c:v>3.64</c:v>
                </c:pt>
                <c:pt idx="7">
                  <c:v>3.9129999999999998</c:v>
                </c:pt>
                <c:pt idx="8">
                  <c:v>4.1849999999999996</c:v>
                </c:pt>
                <c:pt idx="9">
                  <c:v>4.4569999999999999</c:v>
                </c:pt>
                <c:pt idx="10">
                  <c:v>4.7300000000000004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5D-47A9-8F10-CC38A7F3D1B9}"/>
            </c:ext>
          </c:extLst>
        </c:ser>
        <c:ser>
          <c:idx val="2"/>
          <c:order val="2"/>
          <c:tx>
            <c:v>Unwedge, σt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results_tetrahedral!$H$18:$H$28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results_tetrahedral!$I$18:$I$28</c:f>
              <c:numCache>
                <c:formatCode>General</c:formatCode>
                <c:ptCount val="11"/>
                <c:pt idx="0">
                  <c:v>2.0059999999999998</c:v>
                </c:pt>
                <c:pt idx="1">
                  <c:v>2.036</c:v>
                </c:pt>
                <c:pt idx="2">
                  <c:v>2.0649999999999999</c:v>
                </c:pt>
                <c:pt idx="3" formatCode="0.000">
                  <c:v>2.0939999999999999</c:v>
                </c:pt>
                <c:pt idx="4">
                  <c:v>2.1230000000000002</c:v>
                </c:pt>
                <c:pt idx="5">
                  <c:v>2.1520000000000001</c:v>
                </c:pt>
                <c:pt idx="6" formatCode="0.000">
                  <c:v>2.5499999999999998</c:v>
                </c:pt>
                <c:pt idx="7" formatCode="0.000">
                  <c:v>2.9750000000000001</c:v>
                </c:pt>
                <c:pt idx="8" formatCode="0.000">
                  <c:v>3.4</c:v>
                </c:pt>
                <c:pt idx="9" formatCode="0.000">
                  <c:v>3.8250000000000002</c:v>
                </c:pt>
                <c:pt idx="10" formatCode="0.000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5D-47A9-8F10-CC38A7F3D1B9}"/>
            </c:ext>
          </c:extLst>
        </c:ser>
        <c:ser>
          <c:idx val="3"/>
          <c:order val="3"/>
          <c:tx>
            <c:v>This work, σt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results_tetrahedral!$H$18:$H$28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xVal>
          <c:yVal>
            <c:numRef>
              <c:f>results_tetrahedral!$J$18:$J$28</c:f>
              <c:numCache>
                <c:formatCode>0.000</c:formatCode>
                <c:ptCount val="11"/>
                <c:pt idx="0">
                  <c:v>1.9790695424253273</c:v>
                </c:pt>
                <c:pt idx="1">
                  <c:v>2.0096615603706924</c:v>
                </c:pt>
                <c:pt idx="2">
                  <c:v>2.0395369913083798</c:v>
                </c:pt>
                <c:pt idx="3">
                  <c:v>2.0687172247534305</c:v>
                </c:pt>
                <c:pt idx="4">
                  <c:v>2.0972262473590102</c:v>
                </c:pt>
                <c:pt idx="5">
                  <c:v>2.1250869548317133</c:v>
                </c:pt>
                <c:pt idx="6">
                  <c:v>2.1523212132564984</c:v>
                </c:pt>
                <c:pt idx="7">
                  <c:v>2.178949916330934</c:v>
                </c:pt>
                <c:pt idx="8">
                  <c:v>2.2049930388236021</c:v>
                </c:pt>
                <c:pt idx="9">
                  <c:v>2.2304696865441103</c:v>
                </c:pt>
                <c:pt idx="10">
                  <c:v>2.2553981430874352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75D-47A9-8F10-CC38A7F3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032207"/>
        <c:axId val="692017807"/>
      </c:scatterChart>
      <c:valAx>
        <c:axId val="69203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solidFill>
                      <a:sysClr val="windowText" lastClr="000000"/>
                    </a:solidFill>
                  </a:rPr>
                  <a:t>σ</a:t>
                </a:r>
                <a:r>
                  <a:rPr lang="en-US" baseline="-25000">
                    <a:solidFill>
                      <a:sysClr val="windowText" lastClr="000000"/>
                    </a:solidFill>
                  </a:rPr>
                  <a:t>t</a:t>
                </a:r>
                <a:r>
                  <a:rPr lang="el-GR">
                    <a:solidFill>
                      <a:sysClr val="windowText" lastClr="000000"/>
                    </a:solidFill>
                  </a:rPr>
                  <a:t>, </a:t>
                </a:r>
                <a:r>
                  <a:rPr lang="en-US">
                    <a:solidFill>
                      <a:sysClr val="windowText" lastClr="000000"/>
                    </a:solidFill>
                  </a:rPr>
                  <a:t>c</a:t>
                </a:r>
                <a:r>
                  <a:rPr lang="el-GR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[kPa]</a:t>
                </a:r>
                <a:endParaRPr lang="el-G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17807"/>
        <c:crosses val="autoZero"/>
        <c:crossBetween val="midCat"/>
      </c:valAx>
      <c:valAx>
        <c:axId val="6920178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Safety Factor</a:t>
                </a:r>
                <a:endParaRPr lang="el-GR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3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008070570570575"/>
          <c:y val="0.46658962962962963"/>
          <c:w val="0.39044294294294296"/>
          <c:h val="0.3287693205016040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68911267397212"/>
          <c:y val="5.0925925925925923E-2"/>
          <c:w val="0.7782817355545690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v>Unwedge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FF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results_tetrahedral!$L$5:$L$30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results_tetrahedral!$M$5:$M$30</c:f>
              <c:numCache>
                <c:formatCode>0.000</c:formatCode>
                <c:ptCount val="26"/>
                <c:pt idx="0" formatCode="General">
                  <c:v>2.0059999999999998</c:v>
                </c:pt>
                <c:pt idx="1">
                  <c:v>2.0670000000000002</c:v>
                </c:pt>
                <c:pt idx="2">
                  <c:v>2.1280000000000001</c:v>
                </c:pt>
                <c:pt idx="3" formatCode="General">
                  <c:v>2.1890000000000001</c:v>
                </c:pt>
                <c:pt idx="4" formatCode="General">
                  <c:v>2.2490000000000001</c:v>
                </c:pt>
                <c:pt idx="5">
                  <c:v>2.31</c:v>
                </c:pt>
                <c:pt idx="6">
                  <c:v>2.3719999999999999</c:v>
                </c:pt>
                <c:pt idx="7">
                  <c:v>2.4329999999999998</c:v>
                </c:pt>
                <c:pt idx="8">
                  <c:v>2.4950000000000001</c:v>
                </c:pt>
                <c:pt idx="9">
                  <c:v>2.5569999999999999</c:v>
                </c:pt>
                <c:pt idx="10" formatCode="General">
                  <c:v>2.6190000000000002</c:v>
                </c:pt>
                <c:pt idx="11" formatCode="General">
                  <c:v>2.6819999999999999</c:v>
                </c:pt>
                <c:pt idx="12" formatCode="General">
                  <c:v>2.7450000000000001</c:v>
                </c:pt>
                <c:pt idx="13">
                  <c:v>2.8090000000000002</c:v>
                </c:pt>
                <c:pt idx="14" formatCode="General">
                  <c:v>2.8730000000000002</c:v>
                </c:pt>
                <c:pt idx="15" formatCode="General">
                  <c:v>2.9380000000000002</c:v>
                </c:pt>
                <c:pt idx="16" formatCode="General">
                  <c:v>3.0030000000000001</c:v>
                </c:pt>
                <c:pt idx="17" formatCode="General">
                  <c:v>3.069</c:v>
                </c:pt>
                <c:pt idx="18" formatCode="General">
                  <c:v>3.1360000000000001</c:v>
                </c:pt>
                <c:pt idx="19" formatCode="General">
                  <c:v>3.2029999999999998</c:v>
                </c:pt>
                <c:pt idx="20">
                  <c:v>3.2709999999999999</c:v>
                </c:pt>
                <c:pt idx="21">
                  <c:v>3.34</c:v>
                </c:pt>
                <c:pt idx="22">
                  <c:v>3.41</c:v>
                </c:pt>
                <c:pt idx="23">
                  <c:v>3.4820000000000002</c:v>
                </c:pt>
                <c:pt idx="24">
                  <c:v>3.5539999999999998</c:v>
                </c:pt>
                <c:pt idx="25" formatCode="General">
                  <c:v>3.6269999999999998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7-4080-B6C4-A25DBD9F3964}"/>
            </c:ext>
          </c:extLst>
        </c:ser>
        <c:ser>
          <c:idx val="1"/>
          <c:order val="1"/>
          <c:tx>
            <c:v>This work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results_tetrahedral!$L$5:$L$30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results_tetrahedral!$N$5:$N$30</c:f>
              <c:numCache>
                <c:formatCode>0.000</c:formatCode>
                <c:ptCount val="26"/>
                <c:pt idx="0">
                  <c:v>1.9790695424253273</c:v>
                </c:pt>
                <c:pt idx="1">
                  <c:v>2.0606586161212572</c:v>
                </c:pt>
                <c:pt idx="2">
                  <c:v>2.1440841405159268</c:v>
                </c:pt>
                <c:pt idx="3">
                  <c:v>2.2294654415407047</c:v>
                </c:pt>
                <c:pt idx="4">
                  <c:v>2.3169305293654565</c:v>
                </c:pt>
                <c:pt idx="5">
                  <c:v>2.4066170226311407</c:v>
                </c:pt>
                <c:pt idx="6">
                  <c:v>2.4986731954440198</c:v>
                </c:pt>
                <c:pt idx="7">
                  <c:v>2.5932591681831503</c:v>
                </c:pt>
                <c:pt idx="8">
                  <c:v>2.6905482676815344</c:v>
                </c:pt>
                <c:pt idx="9">
                  <c:v>2.7907285880409822</c:v>
                </c:pt>
                <c:pt idx="10">
                  <c:v>2.8940047906106443</c:v>
                </c:pt>
                <c:pt idx="11">
                  <c:v>3.0006001910209377</c:v>
                </c:pt>
                <c:pt idx="12">
                  <c:v>3.110759193344399</c:v>
                </c:pt>
                <c:pt idx="13">
                  <c:v>3.2247501474766382</c:v>
                </c:pt>
                <c:pt idx="14">
                  <c:v>3.3428687271563473</c:v>
                </c:pt>
                <c:pt idx="15">
                  <c:v>3.4654419547922943</c:v>
                </c:pt>
                <c:pt idx="16">
                  <c:v>3.5928330385542875</c:v>
                </c:pt>
                <c:pt idx="17">
                  <c:v>3.7254472416745923</c:v>
                </c:pt>
                <c:pt idx="18">
                  <c:v>3.8637390806851934</c:v>
                </c:pt>
                <c:pt idx="19">
                  <c:v>4.0082212593724158</c:v>
                </c:pt>
                <c:pt idx="20">
                  <c:v>4.1594759059410675</c:v>
                </c:pt>
                <c:pt idx="21">
                  <c:v>4.3181689203353963</c:v>
                </c:pt>
                <c:pt idx="22">
                  <c:v>4.4850686033651783</c:v>
                </c:pt>
                <c:pt idx="23">
                  <c:v>4.6610703082461855</c:v>
                </c:pt>
                <c:pt idx="24">
                  <c:v>4.8472297665515223</c:v>
                </c:pt>
                <c:pt idx="25">
                  <c:v>5.0448092437944494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7-4080-B6C4-A25DBD9F3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032207"/>
        <c:axId val="692017807"/>
      </c:scatterChart>
      <c:valAx>
        <c:axId val="692032207"/>
        <c:scaling>
          <c:orientation val="minMax"/>
          <c:max val="2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Waviness</a:t>
                </a:r>
                <a:r>
                  <a:rPr lang="el-GR"/>
                  <a:t>, </a:t>
                </a:r>
                <a:r>
                  <a:rPr lang="en-US"/>
                  <a:t>i</a:t>
                </a:r>
                <a:r>
                  <a:rPr lang="el-GR"/>
                  <a:t> [</a:t>
                </a:r>
                <a:r>
                  <a:rPr lang="en-US" baseline="30000"/>
                  <a:t>o</a:t>
                </a:r>
                <a:r>
                  <a:rPr lang="en-US"/>
                  <a:t>]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17807"/>
        <c:crosses val="autoZero"/>
        <c:crossBetween val="midCat"/>
      </c:valAx>
      <c:valAx>
        <c:axId val="6920178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Safety Factor</a:t>
                </a:r>
                <a:endParaRPr lang="el-G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203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57166444698864"/>
          <c:y val="7.2626494604841066E-2"/>
          <c:w val="0.34027439939939941"/>
          <c:h val="0.275451297754447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181427</xdr:colOff>
      <xdr:row>2</xdr:row>
      <xdr:rowOff>108857</xdr:rowOff>
    </xdr:from>
    <xdr:to>
      <xdr:col>23</xdr:col>
      <xdr:colOff>27214</xdr:colOff>
      <xdr:row>15</xdr:row>
      <xdr:rowOff>161308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E49F21D3-E3CA-81BF-BF07-C0AAF43A8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18</xdr:row>
      <xdr:rowOff>34925</xdr:rowOff>
    </xdr:from>
    <xdr:to>
      <xdr:col>5</xdr:col>
      <xdr:colOff>79550</xdr:colOff>
      <xdr:row>32</xdr:row>
      <xdr:rowOff>127175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F9912F5B-0C26-20B3-3015-1560D7E0D4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260350</xdr:colOff>
      <xdr:row>17</xdr:row>
      <xdr:rowOff>152400</xdr:rowOff>
    </xdr:from>
    <xdr:to>
      <xdr:col>10</xdr:col>
      <xdr:colOff>485950</xdr:colOff>
      <xdr:row>32</xdr:row>
      <xdr:rowOff>54150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CD80624E-F28E-426C-8093-DDC83000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</xdr:colOff>
      <xdr:row>17</xdr:row>
      <xdr:rowOff>165100</xdr:rowOff>
    </xdr:from>
    <xdr:to>
      <xdr:col>16</xdr:col>
      <xdr:colOff>231950</xdr:colOff>
      <xdr:row>32</xdr:row>
      <xdr:rowOff>66850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7D2C4220-72C0-4FB2-B852-B4D94B83A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17</xdr:row>
      <xdr:rowOff>152400</xdr:rowOff>
    </xdr:from>
    <xdr:to>
      <xdr:col>23</xdr:col>
      <xdr:colOff>396875</xdr:colOff>
      <xdr:row>32</xdr:row>
      <xdr:rowOff>133350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DC9CADD3-C8E3-4C97-993A-4D483438D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18</xdr:row>
      <xdr:rowOff>0</xdr:rowOff>
    </xdr:from>
    <xdr:to>
      <xdr:col>28</xdr:col>
      <xdr:colOff>225600</xdr:colOff>
      <xdr:row>32</xdr:row>
      <xdr:rowOff>85900</xdr:rowOff>
    </xdr:to>
    <xdr:graphicFrame macro="">
      <xdr:nvGraphicFramePr>
        <xdr:cNvPr id="6" name="Γράφημα 5">
          <a:extLst>
            <a:ext uri="{FF2B5EF4-FFF2-40B4-BE49-F238E27FC236}">
              <a16:creationId xmlns:a16="http://schemas.microsoft.com/office/drawing/2014/main" id="{E14D4EE1-D84C-4E69-9221-B31FFEA53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596900</xdr:colOff>
      <xdr:row>18</xdr:row>
      <xdr:rowOff>0</xdr:rowOff>
    </xdr:from>
    <xdr:to>
      <xdr:col>35</xdr:col>
      <xdr:colOff>384175</xdr:colOff>
      <xdr:row>32</xdr:row>
      <xdr:rowOff>165100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1A047649-2A06-EC9D-93FD-C500B3CA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</xdr:row>
      <xdr:rowOff>165100</xdr:rowOff>
    </xdr:from>
    <xdr:to>
      <xdr:col>6</xdr:col>
      <xdr:colOff>520700</xdr:colOff>
      <xdr:row>30</xdr:row>
      <xdr:rowOff>88900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2D11AE2C-A5BD-412E-AFB7-1A7DBA1B1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25</xdr:row>
      <xdr:rowOff>114300</xdr:rowOff>
    </xdr:from>
    <xdr:to>
      <xdr:col>4</xdr:col>
      <xdr:colOff>555800</xdr:colOff>
      <xdr:row>40</xdr:row>
      <xdr:rowOff>16050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B54B2A9F-754D-BAA3-DCC8-06776F6A5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165100</xdr:colOff>
      <xdr:row>4</xdr:row>
      <xdr:rowOff>165100</xdr:rowOff>
    </xdr:from>
    <xdr:to>
      <xdr:col>21</xdr:col>
      <xdr:colOff>193850</xdr:colOff>
      <xdr:row>19</xdr:row>
      <xdr:rowOff>66850</xdr:rowOff>
    </xdr:to>
    <xdr:graphicFrame macro="">
      <xdr:nvGraphicFramePr>
        <xdr:cNvPr id="4" name="Γράφημα 3">
          <a:extLst>
            <a:ext uri="{FF2B5EF4-FFF2-40B4-BE49-F238E27FC236}">
              <a16:creationId xmlns:a16="http://schemas.microsoft.com/office/drawing/2014/main" id="{EDAA5FD4-BFA0-4287-8ED3-6AFF76815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558800</xdr:colOff>
      <xdr:row>30</xdr:row>
      <xdr:rowOff>82550</xdr:rowOff>
    </xdr:from>
    <xdr:to>
      <xdr:col>9</xdr:col>
      <xdr:colOff>174800</xdr:colOff>
      <xdr:row>45</xdr:row>
      <xdr:rowOff>20300</xdr:rowOff>
    </xdr:to>
    <xdr:graphicFrame macro="">
      <xdr:nvGraphicFramePr>
        <xdr:cNvPr id="7" name="Γράφημα 6">
          <a:extLst>
            <a:ext uri="{FF2B5EF4-FFF2-40B4-BE49-F238E27FC236}">
              <a16:creationId xmlns:a16="http://schemas.microsoft.com/office/drawing/2014/main" id="{E792DC7E-017E-429C-A19E-72CCD88EB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685800</xdr:colOff>
      <xdr:row>30</xdr:row>
      <xdr:rowOff>0</xdr:rowOff>
    </xdr:from>
    <xdr:to>
      <xdr:col>13</xdr:col>
      <xdr:colOff>720900</xdr:colOff>
      <xdr:row>44</xdr:row>
      <xdr:rowOff>85900</xdr:rowOff>
    </xdr:to>
    <xdr:graphicFrame macro="">
      <xdr:nvGraphicFramePr>
        <xdr:cNvPr id="9" name="Γράφημα 8">
          <a:extLst>
            <a:ext uri="{FF2B5EF4-FFF2-40B4-BE49-F238E27FC236}">
              <a16:creationId xmlns:a16="http://schemas.microsoft.com/office/drawing/2014/main" id="{8B906E53-BECC-4F57-AB97-56AE0E12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67F2-ED13-4A9A-AE8A-C543E9C07C9B}">
  <dimension ref="A1:BJ27"/>
  <sheetViews>
    <sheetView workbookViewId="0">
      <selection activeCell="D13" sqref="D13"/>
    </sheetView>
  </sheetViews>
  <sheetFormatPr defaultColWidth="8.7109375" defaultRowHeight="15" x14ac:dyDescent="0.25"/>
  <cols>
    <col min="1" max="1" width="15.28515625" style="3" bestFit="1" customWidth="1"/>
    <col min="2" max="2" width="34.85546875" style="3" bestFit="1" customWidth="1"/>
    <col min="3" max="3" width="25.5703125" style="3" bestFit="1" customWidth="1"/>
    <col min="4" max="4" width="14.5703125" style="3" bestFit="1" customWidth="1"/>
    <col min="5" max="5" width="11.28515625" style="3" bestFit="1" customWidth="1"/>
    <col min="6" max="6" width="42" style="3" bestFit="1" customWidth="1"/>
    <col min="7" max="7" width="31.42578125" style="3" bestFit="1" customWidth="1"/>
    <col min="8" max="8" width="16.28515625" style="3" bestFit="1" customWidth="1"/>
    <col min="9" max="9" width="20.5703125" style="3" bestFit="1" customWidth="1"/>
    <col min="10" max="10" width="23.140625" style="3" bestFit="1" customWidth="1"/>
    <col min="11" max="11" width="11.140625" style="3" bestFit="1" customWidth="1"/>
    <col min="12" max="12" width="5.5703125" style="3" bestFit="1" customWidth="1"/>
    <col min="13" max="13" width="8" style="3" bestFit="1" customWidth="1"/>
    <col min="14" max="14" width="5.42578125" style="3" bestFit="1" customWidth="1"/>
    <col min="15" max="15" width="9.42578125" style="3" bestFit="1" customWidth="1"/>
    <col min="16" max="16" width="13.140625" style="3" bestFit="1" customWidth="1"/>
    <col min="17" max="18" width="8.7109375" style="3"/>
    <col min="19" max="19" width="15.42578125" style="3" bestFit="1" customWidth="1"/>
    <col min="20" max="20" width="11.7109375" style="3" bestFit="1" customWidth="1"/>
    <col min="21" max="21" width="10.28515625" style="3" bestFit="1" customWidth="1"/>
    <col min="22" max="22" width="12.140625" style="3" bestFit="1" customWidth="1"/>
    <col min="23" max="23" width="20.28515625" style="3" bestFit="1" customWidth="1"/>
    <col min="24" max="24" width="20" style="3" bestFit="1" customWidth="1"/>
    <col min="25" max="25" width="1.42578125" style="46" bestFit="1" customWidth="1"/>
    <col min="26" max="26" width="14.5703125" style="3" bestFit="1" customWidth="1"/>
    <col min="27" max="27" width="11.42578125" style="3" bestFit="1" customWidth="1"/>
    <col min="28" max="28" width="17.28515625" style="3" bestFit="1" customWidth="1"/>
    <col min="29" max="30" width="16.5703125" style="3" bestFit="1" customWidth="1"/>
    <col min="31" max="31" width="20.85546875" style="3" bestFit="1" customWidth="1"/>
    <col min="32" max="32" width="23.42578125" style="3" bestFit="1" customWidth="1"/>
    <col min="33" max="33" width="11.28515625" style="3" bestFit="1" customWidth="1"/>
    <col min="34" max="34" width="5.5703125" style="3" bestFit="1" customWidth="1"/>
    <col min="35" max="35" width="8.140625" style="3" bestFit="1" customWidth="1"/>
    <col min="36" max="36" width="5.42578125" style="3" bestFit="1" customWidth="1"/>
    <col min="37" max="37" width="9.42578125" style="3" bestFit="1" customWidth="1"/>
    <col min="38" max="38" width="13.140625" style="3" bestFit="1" customWidth="1"/>
    <col min="39" max="39" width="5.42578125" style="3" bestFit="1" customWidth="1"/>
    <col min="40" max="40" width="9.42578125" style="3" bestFit="1" customWidth="1"/>
    <col min="41" max="41" width="15.42578125" style="3" bestFit="1" customWidth="1"/>
    <col min="42" max="42" width="11.7109375" style="3" bestFit="1" customWidth="1"/>
    <col min="43" max="43" width="10.28515625" style="3" bestFit="1" customWidth="1"/>
    <col min="44" max="44" width="12.140625" style="3" bestFit="1" customWidth="1"/>
    <col min="45" max="46" width="21.140625" style="3" bestFit="1" customWidth="1"/>
    <col min="47" max="47" width="1.42578125" style="46" bestFit="1" customWidth="1"/>
    <col min="48" max="54" width="8.7109375" style="3"/>
    <col min="55" max="55" width="11" style="3" bestFit="1" customWidth="1"/>
    <col min="56" max="56" width="13.7109375" style="3" bestFit="1" customWidth="1"/>
    <col min="57" max="57" width="8.7109375" style="3"/>
    <col min="58" max="58" width="13.7109375" style="3" bestFit="1" customWidth="1"/>
    <col min="59" max="59" width="19.85546875" style="3" customWidth="1"/>
    <col min="60" max="60" width="46" style="3" bestFit="1" customWidth="1"/>
    <col min="61" max="61" width="17.42578125" style="3" bestFit="1" customWidth="1"/>
    <col min="62" max="62" width="10.42578125" style="3" bestFit="1" customWidth="1"/>
    <col min="63" max="16384" width="8.7109375" style="3"/>
  </cols>
  <sheetData>
    <row r="1" spans="1:62" x14ac:dyDescent="0.25">
      <c r="A1" s="3" t="s">
        <v>0</v>
      </c>
      <c r="B1" s="3" t="s">
        <v>91</v>
      </c>
      <c r="E1" s="42" t="s">
        <v>147</v>
      </c>
      <c r="F1" s="43" t="s">
        <v>103</v>
      </c>
      <c r="Y1" s="51"/>
      <c r="AU1" s="51"/>
      <c r="AW1" s="90" t="s">
        <v>177</v>
      </c>
      <c r="AX1" s="90"/>
      <c r="AY1" s="90"/>
      <c r="AZ1" s="90"/>
      <c r="BA1" s="90"/>
      <c r="BB1" s="90"/>
      <c r="BC1" s="90"/>
      <c r="BD1" s="90"/>
      <c r="BE1" s="90"/>
      <c r="BF1" s="90"/>
      <c r="BG1" s="90"/>
      <c r="BH1"/>
      <c r="BI1"/>
      <c r="BJ1"/>
    </row>
    <row r="2" spans="1:62" ht="15.75" thickBot="1" x14ac:dyDescent="0.3">
      <c r="A2" s="3" t="s">
        <v>2</v>
      </c>
      <c r="B2" s="3" t="s">
        <v>92</v>
      </c>
      <c r="E2" s="44" t="s">
        <v>148</v>
      </c>
      <c r="F2" s="45" t="s">
        <v>149</v>
      </c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x14ac:dyDescent="0.25">
      <c r="A3" s="3" t="s">
        <v>4</v>
      </c>
      <c r="B3" s="3" t="s">
        <v>93</v>
      </c>
      <c r="AW3" s="90" t="s">
        <v>25</v>
      </c>
      <c r="AX3" s="90"/>
      <c r="AY3" s="90"/>
      <c r="AZ3" s="90"/>
      <c r="BA3" s="90"/>
      <c r="BB3"/>
      <c r="BC3" s="32" t="s">
        <v>77</v>
      </c>
      <c r="BD3"/>
      <c r="BE3" s="32" t="s">
        <v>78</v>
      </c>
      <c r="BF3"/>
      <c r="BG3" s="32" t="s">
        <v>79</v>
      </c>
      <c r="BH3"/>
      <c r="BI3"/>
      <c r="BJ3"/>
    </row>
    <row r="4" spans="1:62" x14ac:dyDescent="0.25">
      <c r="A4" s="3" t="s">
        <v>28</v>
      </c>
      <c r="B4" s="3" t="s">
        <v>94</v>
      </c>
      <c r="E4" s="3" t="s">
        <v>23</v>
      </c>
      <c r="F4" s="3" t="s">
        <v>142</v>
      </c>
      <c r="AW4" s="92" t="s">
        <v>165</v>
      </c>
      <c r="AX4" s="92"/>
      <c r="AY4" s="92"/>
      <c r="AZ4" s="92"/>
      <c r="BA4" s="92"/>
      <c r="BB4"/>
      <c r="BC4" s="91" t="s">
        <v>170</v>
      </c>
      <c r="BD4"/>
      <c r="BE4" s="20" t="s">
        <v>85</v>
      </c>
      <c r="BF4" t="s">
        <v>145</v>
      </c>
      <c r="BG4" s="5" t="s">
        <v>175</v>
      </c>
      <c r="BH4" t="s">
        <v>172</v>
      </c>
      <c r="BI4"/>
      <c r="BJ4"/>
    </row>
    <row r="5" spans="1:62" ht="18" x14ac:dyDescent="0.35">
      <c r="A5" s="3" t="s">
        <v>16</v>
      </c>
      <c r="B5" s="3" t="s">
        <v>95</v>
      </c>
      <c r="E5" s="3" t="s">
        <v>83</v>
      </c>
      <c r="F5" s="3" t="s">
        <v>143</v>
      </c>
      <c r="AW5" s="92" t="s">
        <v>166</v>
      </c>
      <c r="AX5" s="92"/>
      <c r="AY5" s="92"/>
      <c r="AZ5" s="92"/>
      <c r="BA5" s="92"/>
      <c r="BB5"/>
      <c r="BC5" s="91"/>
      <c r="BD5"/>
      <c r="BE5" s="19" t="s">
        <v>186</v>
      </c>
      <c r="BF5" t="s">
        <v>150</v>
      </c>
      <c r="BG5" s="90" t="s">
        <v>154</v>
      </c>
      <c r="BH5" s="90"/>
      <c r="BI5" s="90"/>
      <c r="BJ5"/>
    </row>
    <row r="6" spans="1:62" ht="18" x14ac:dyDescent="0.35">
      <c r="A6" s="3" t="s">
        <v>6</v>
      </c>
      <c r="B6" s="3" t="s">
        <v>96</v>
      </c>
      <c r="E6" s="3" t="s">
        <v>84</v>
      </c>
      <c r="F6" s="3" t="s">
        <v>144</v>
      </c>
      <c r="AW6" s="92" t="s">
        <v>167</v>
      </c>
      <c r="AX6" s="92"/>
      <c r="AY6" s="92"/>
      <c r="AZ6" s="92"/>
      <c r="BA6" s="92"/>
      <c r="BB6"/>
      <c r="BC6" s="91"/>
      <c r="BD6"/>
      <c r="BE6" s="19" t="s">
        <v>187</v>
      </c>
      <c r="BF6" t="s">
        <v>151</v>
      </c>
      <c r="BG6" s="3" t="s">
        <v>156</v>
      </c>
      <c r="BH6" s="3" t="s">
        <v>157</v>
      </c>
      <c r="BI6" s="14" t="s">
        <v>155</v>
      </c>
      <c r="BJ6"/>
    </row>
    <row r="7" spans="1:62" ht="18.75" thickBot="1" x14ac:dyDescent="0.4">
      <c r="A7" s="3" t="s">
        <v>7</v>
      </c>
      <c r="B7" s="3" t="s">
        <v>97</v>
      </c>
      <c r="E7" s="3" t="s">
        <v>85</v>
      </c>
      <c r="F7" s="3" t="s">
        <v>145</v>
      </c>
      <c r="AW7" s="92" t="s">
        <v>168</v>
      </c>
      <c r="AX7" s="92"/>
      <c r="AY7" s="92"/>
      <c r="AZ7" s="92"/>
      <c r="BA7" s="92"/>
      <c r="BB7"/>
      <c r="BC7" s="91"/>
      <c r="BD7"/>
      <c r="BE7" s="19" t="s">
        <v>188</v>
      </c>
      <c r="BF7" t="s">
        <v>152</v>
      </c>
      <c r="BG7" s="3" t="s">
        <v>158</v>
      </c>
      <c r="BH7" s="3" t="s">
        <v>160</v>
      </c>
      <c r="BI7" s="14" t="s">
        <v>162</v>
      </c>
      <c r="BJ7"/>
    </row>
    <row r="8" spans="1:62" ht="18.75" thickBot="1" x14ac:dyDescent="0.4">
      <c r="A8" s="3" t="s">
        <v>9</v>
      </c>
      <c r="B8" s="38" t="s">
        <v>98</v>
      </c>
      <c r="E8" s="33" t="s">
        <v>79</v>
      </c>
      <c r="F8" s="9" t="s">
        <v>146</v>
      </c>
      <c r="AW8" s="92" t="s">
        <v>169</v>
      </c>
      <c r="AX8" s="92"/>
      <c r="AY8" s="92"/>
      <c r="AZ8" s="92"/>
      <c r="BA8" s="92"/>
      <c r="BB8"/>
      <c r="BC8" s="91"/>
      <c r="BD8"/>
      <c r="BE8" s="19" t="s">
        <v>189</v>
      </c>
      <c r="BF8" t="s">
        <v>153</v>
      </c>
      <c r="BG8" s="3" t="s">
        <v>159</v>
      </c>
      <c r="BH8" s="3" t="s">
        <v>161</v>
      </c>
      <c r="BI8" s="14" t="s">
        <v>163</v>
      </c>
      <c r="BJ8"/>
    </row>
    <row r="9" spans="1:62" ht="18" x14ac:dyDescent="0.35">
      <c r="A9" s="3" t="s">
        <v>11</v>
      </c>
      <c r="B9" s="3" t="s">
        <v>99</v>
      </c>
      <c r="AW9"/>
      <c r="AX9"/>
      <c r="AY9"/>
      <c r="AZ9"/>
      <c r="BA9"/>
      <c r="BB9"/>
      <c r="BC9"/>
      <c r="BD9"/>
      <c r="BE9"/>
      <c r="BF9"/>
      <c r="BG9"/>
      <c r="BH9"/>
      <c r="BI9" s="14" t="s">
        <v>164</v>
      </c>
      <c r="BJ9"/>
    </row>
    <row r="10" spans="1:62" ht="15.75" thickBot="1" x14ac:dyDescent="0.3">
      <c r="A10" s="3" t="s">
        <v>12</v>
      </c>
      <c r="B10" s="3" t="s">
        <v>100</v>
      </c>
      <c r="E10" s="3" t="s">
        <v>85</v>
      </c>
      <c r="F10" s="3" t="s">
        <v>196</v>
      </c>
      <c r="AW10" s="90" t="s">
        <v>80</v>
      </c>
      <c r="AX10" s="90"/>
      <c r="AY10" s="90"/>
      <c r="AZ10" s="90"/>
      <c r="BA10" s="90"/>
      <c r="BB10"/>
      <c r="BC10" s="32" t="s">
        <v>81</v>
      </c>
      <c r="BD10"/>
      <c r="BE10" s="32" t="s">
        <v>82</v>
      </c>
      <c r="BF10"/>
      <c r="BG10"/>
      <c r="BH10"/>
      <c r="BI10"/>
      <c r="BJ10"/>
    </row>
    <row r="11" spans="1:62" ht="18.75" thickBot="1" x14ac:dyDescent="0.4">
      <c r="A11" s="3" t="s">
        <v>14</v>
      </c>
      <c r="B11" s="3" t="s">
        <v>101</v>
      </c>
      <c r="E11" s="33" t="s">
        <v>79</v>
      </c>
      <c r="F11" s="9" t="s">
        <v>197</v>
      </c>
      <c r="AW11" s="92" t="s">
        <v>165</v>
      </c>
      <c r="AX11" s="92"/>
      <c r="AY11" s="92"/>
      <c r="AZ11" s="92"/>
      <c r="BA11" s="92"/>
      <c r="BB11"/>
      <c r="BC11" s="91" t="s">
        <v>170</v>
      </c>
      <c r="BD11"/>
      <c r="BE11" s="20" t="s">
        <v>85</v>
      </c>
      <c r="BF11" t="s">
        <v>145</v>
      </c>
      <c r="BG11"/>
      <c r="BH11"/>
      <c r="BI11"/>
      <c r="BJ11"/>
    </row>
    <row r="12" spans="1:62" ht="18" x14ac:dyDescent="0.35">
      <c r="A12" s="3" t="s">
        <v>15</v>
      </c>
      <c r="B12" s="3" t="s">
        <v>102</v>
      </c>
      <c r="O12" t="s">
        <v>326</v>
      </c>
      <c r="P12" t="s">
        <v>340</v>
      </c>
      <c r="R12" s="22" t="s">
        <v>47</v>
      </c>
      <c r="S12" s="10" t="s">
        <v>48</v>
      </c>
      <c r="AK12" t="s">
        <v>329</v>
      </c>
      <c r="AL12" t="s">
        <v>340</v>
      </c>
      <c r="AN12" s="22" t="s">
        <v>67</v>
      </c>
      <c r="AO12" s="10" t="s">
        <v>68</v>
      </c>
      <c r="AW12" s="92" t="s">
        <v>166</v>
      </c>
      <c r="AX12" s="92"/>
      <c r="AY12" s="92"/>
      <c r="AZ12" s="92"/>
      <c r="BA12" s="92"/>
      <c r="BB12"/>
      <c r="BC12" s="91"/>
      <c r="BD12"/>
      <c r="BE12" s="19" t="s">
        <v>186</v>
      </c>
      <c r="BF12" t="s">
        <v>150</v>
      </c>
      <c r="BG12" s="90" t="s">
        <v>154</v>
      </c>
      <c r="BH12" s="90"/>
      <c r="BI12" s="90"/>
      <c r="BJ12"/>
    </row>
    <row r="13" spans="1:62" ht="18.75" thickBot="1" x14ac:dyDescent="0.4">
      <c r="A13" s="6" t="s">
        <v>13</v>
      </c>
      <c r="B13" s="15" t="s">
        <v>104</v>
      </c>
      <c r="O13" t="s">
        <v>327</v>
      </c>
      <c r="P13" t="s">
        <v>341</v>
      </c>
      <c r="R13" s="93" t="s">
        <v>138</v>
      </c>
      <c r="S13" s="94"/>
      <c r="AK13" t="s">
        <v>327</v>
      </c>
      <c r="AL13" t="s">
        <v>341</v>
      </c>
      <c r="AN13" s="93" t="s">
        <v>138</v>
      </c>
      <c r="AO13" s="94"/>
      <c r="AW13" s="92" t="s">
        <v>167</v>
      </c>
      <c r="AX13" s="92"/>
      <c r="AY13" s="92"/>
      <c r="AZ13" s="92"/>
      <c r="BA13" s="92"/>
      <c r="BB13"/>
      <c r="BC13" s="91"/>
      <c r="BD13"/>
      <c r="BE13" s="19" t="s">
        <v>187</v>
      </c>
      <c r="BF13" t="s">
        <v>151</v>
      </c>
      <c r="BG13" s="3" t="s">
        <v>156</v>
      </c>
      <c r="BH13" s="3" t="s">
        <v>157</v>
      </c>
      <c r="BI13" s="14" t="s">
        <v>155</v>
      </c>
      <c r="BJ13"/>
    </row>
    <row r="14" spans="1:62" ht="18.75" thickBot="1" x14ac:dyDescent="0.4">
      <c r="A14" s="100" t="s">
        <v>17</v>
      </c>
      <c r="B14" s="101"/>
      <c r="C14" s="3" t="s">
        <v>105</v>
      </c>
      <c r="E14" s="33" t="s">
        <v>79</v>
      </c>
      <c r="F14" s="86" t="s">
        <v>175</v>
      </c>
      <c r="R14" s="18" t="s">
        <v>51</v>
      </c>
      <c r="S14" s="25" t="s">
        <v>52</v>
      </c>
      <c r="AN14" s="18" t="s">
        <v>69</v>
      </c>
      <c r="AO14" s="25" t="s">
        <v>70</v>
      </c>
      <c r="AW14" s="92" t="s">
        <v>168</v>
      </c>
      <c r="AX14" s="92"/>
      <c r="AY14" s="92"/>
      <c r="AZ14" s="92"/>
      <c r="BA14" s="92"/>
      <c r="BB14"/>
      <c r="BC14" s="91"/>
      <c r="BD14"/>
      <c r="BE14" s="19" t="s">
        <v>188</v>
      </c>
      <c r="BF14" t="s">
        <v>152</v>
      </c>
      <c r="BG14" s="3" t="s">
        <v>158</v>
      </c>
      <c r="BH14" s="3" t="s">
        <v>160</v>
      </c>
      <c r="BI14" s="14" t="s">
        <v>162</v>
      </c>
      <c r="BJ14"/>
    </row>
    <row r="15" spans="1:62" ht="18.75" thickBot="1" x14ac:dyDescent="0.4">
      <c r="A15" s="3" t="s">
        <v>18</v>
      </c>
      <c r="B15" s="34" t="s">
        <v>106</v>
      </c>
      <c r="R15" s="95" t="s">
        <v>139</v>
      </c>
      <c r="S15" s="96"/>
      <c r="AN15" s="95" t="s">
        <v>139</v>
      </c>
      <c r="AO15" s="96"/>
      <c r="AW15" s="92" t="s">
        <v>171</v>
      </c>
      <c r="AX15" s="92"/>
      <c r="AY15" s="92"/>
      <c r="AZ15" s="92"/>
      <c r="BA15" s="92"/>
      <c r="BB15"/>
      <c r="BC15" s="91"/>
      <c r="BD15"/>
      <c r="BE15" s="19" t="s">
        <v>189</v>
      </c>
      <c r="BF15" t="s">
        <v>153</v>
      </c>
      <c r="BG15" s="3" t="s">
        <v>159</v>
      </c>
      <c r="BH15" s="3" t="s">
        <v>161</v>
      </c>
      <c r="BI15" s="14" t="s">
        <v>163</v>
      </c>
      <c r="BJ15"/>
    </row>
    <row r="16" spans="1:62" ht="18.75" thickBot="1" x14ac:dyDescent="0.4">
      <c r="A16" s="12" t="s">
        <v>19</v>
      </c>
      <c r="B16" s="15" t="s">
        <v>107</v>
      </c>
      <c r="E16" s="33" t="s">
        <v>79</v>
      </c>
      <c r="F16" s="35" t="s">
        <v>342</v>
      </c>
      <c r="R16" s="12" t="s">
        <v>53</v>
      </c>
      <c r="S16" s="41" t="s">
        <v>117</v>
      </c>
      <c r="AN16" s="12" t="s">
        <v>71</v>
      </c>
      <c r="AO16" s="41" t="s">
        <v>117</v>
      </c>
      <c r="AW16"/>
      <c r="AX16"/>
      <c r="AY16"/>
      <c r="AZ16"/>
      <c r="BA16"/>
      <c r="BB16"/>
      <c r="BC16"/>
      <c r="BD16"/>
      <c r="BE16"/>
      <c r="BF16"/>
      <c r="BG16"/>
      <c r="BH16"/>
      <c r="BI16" s="14" t="s">
        <v>164</v>
      </c>
      <c r="BJ16"/>
    </row>
    <row r="17" spans="1:62" ht="18.75" x14ac:dyDescent="0.35">
      <c r="A17" s="12" t="s">
        <v>20</v>
      </c>
      <c r="B17" s="15" t="s">
        <v>108</v>
      </c>
      <c r="E17" s="3" t="s">
        <v>31</v>
      </c>
      <c r="F17" s="3" t="s">
        <v>208</v>
      </c>
      <c r="G17" s="3" t="s">
        <v>209</v>
      </c>
      <c r="R17" s="27" t="s">
        <v>54</v>
      </c>
      <c r="S17" s="41" t="s">
        <v>118</v>
      </c>
      <c r="AN17" s="27" t="s">
        <v>72</v>
      </c>
      <c r="AO17" s="41" t="s">
        <v>118</v>
      </c>
      <c r="AW17"/>
      <c r="AX17" s="90" t="s">
        <v>176</v>
      </c>
      <c r="AY17" s="90"/>
      <c r="AZ17" s="90"/>
      <c r="BA17" s="90"/>
      <c r="BB17" s="90"/>
      <c r="BC17" s="90"/>
      <c r="BD17" s="90"/>
      <c r="BE17" s="90"/>
      <c r="BF17"/>
      <c r="BG17"/>
      <c r="BH17"/>
      <c r="BI17"/>
      <c r="BJ17"/>
    </row>
    <row r="18" spans="1:62" ht="18" x14ac:dyDescent="0.35">
      <c r="A18" s="12" t="s">
        <v>21</v>
      </c>
      <c r="B18" s="15" t="s">
        <v>109</v>
      </c>
      <c r="E18" s="3" t="s">
        <v>201</v>
      </c>
      <c r="F18" s="3" t="s">
        <v>207</v>
      </c>
      <c r="G18" s="3" t="s">
        <v>210</v>
      </c>
      <c r="R18" s="27" t="s">
        <v>204</v>
      </c>
      <c r="S18" s="41" t="s">
        <v>205</v>
      </c>
      <c r="AN18" s="27" t="s">
        <v>203</v>
      </c>
      <c r="AO18" s="41" t="s">
        <v>205</v>
      </c>
      <c r="AW18"/>
      <c r="AX18"/>
      <c r="AY18"/>
      <c r="AZ18"/>
      <c r="BA18"/>
      <c r="BB18"/>
      <c r="BC18"/>
      <c r="BD18"/>
      <c r="BE18"/>
      <c r="BF18"/>
      <c r="BG18" s="90" t="s">
        <v>154</v>
      </c>
      <c r="BH18" s="90"/>
      <c r="BI18" s="90"/>
      <c r="BJ18"/>
    </row>
    <row r="19" spans="1:62" ht="18" x14ac:dyDescent="0.35">
      <c r="A19" s="12" t="s">
        <v>26</v>
      </c>
      <c r="B19" s="15" t="s">
        <v>110</v>
      </c>
      <c r="R19" s="27" t="s">
        <v>57</v>
      </c>
      <c r="S19" s="41" t="s">
        <v>140</v>
      </c>
      <c r="AN19" s="27" t="s">
        <v>73</v>
      </c>
      <c r="AO19" s="41" t="s">
        <v>140</v>
      </c>
      <c r="AW19"/>
      <c r="AX19"/>
      <c r="AY19"/>
      <c r="AZ19"/>
      <c r="BA19"/>
      <c r="BB19"/>
      <c r="BC19"/>
      <c r="BD19"/>
      <c r="BE19"/>
      <c r="BF19"/>
      <c r="BG19" s="3" t="s">
        <v>156</v>
      </c>
      <c r="BH19" s="3" t="s">
        <v>157</v>
      </c>
      <c r="BI19" s="14" t="s">
        <v>155</v>
      </c>
      <c r="BJ19"/>
    </row>
    <row r="20" spans="1:62" ht="18.75" thickBot="1" x14ac:dyDescent="0.4">
      <c r="A20" s="22" t="s">
        <v>27</v>
      </c>
      <c r="B20" s="15" t="s">
        <v>111</v>
      </c>
      <c r="C20" s="3" t="s">
        <v>103</v>
      </c>
      <c r="AW20"/>
      <c r="AX20" s="90" t="s">
        <v>86</v>
      </c>
      <c r="AY20" s="90"/>
      <c r="AZ20" s="90"/>
      <c r="BA20" s="90"/>
      <c r="BB20"/>
      <c r="BC20" s="32" t="s">
        <v>87</v>
      </c>
      <c r="BD20"/>
      <c r="BE20" s="32" t="s">
        <v>88</v>
      </c>
      <c r="BF20"/>
      <c r="BG20" s="3" t="s">
        <v>158</v>
      </c>
      <c r="BH20" s="3" t="s">
        <v>160</v>
      </c>
      <c r="BI20" s="14" t="s">
        <v>162</v>
      </c>
      <c r="BJ20"/>
    </row>
    <row r="21" spans="1:62" ht="18.75" thickBot="1" x14ac:dyDescent="0.4">
      <c r="A21" s="97" t="s">
        <v>90</v>
      </c>
      <c r="B21" s="102"/>
      <c r="C21" s="99"/>
      <c r="D21" s="97" t="s">
        <v>112</v>
      </c>
      <c r="E21" s="102"/>
      <c r="F21" s="102"/>
      <c r="G21" s="102"/>
      <c r="H21" s="99"/>
      <c r="I21" s="97" t="s">
        <v>113</v>
      </c>
      <c r="J21" s="102"/>
      <c r="K21" s="99"/>
      <c r="L21" s="97" t="s">
        <v>114</v>
      </c>
      <c r="M21" s="102"/>
      <c r="N21" s="99"/>
      <c r="O21" s="97" t="s">
        <v>115</v>
      </c>
      <c r="P21" s="102"/>
      <c r="Q21" s="99"/>
      <c r="R21" s="97" t="s">
        <v>116</v>
      </c>
      <c r="S21" s="99"/>
      <c r="T21" s="8" t="s">
        <v>117</v>
      </c>
      <c r="U21" s="8" t="s">
        <v>118</v>
      </c>
      <c r="V21" s="33"/>
      <c r="W21" s="97" t="s">
        <v>119</v>
      </c>
      <c r="X21" s="98"/>
      <c r="Z21" s="97" t="s">
        <v>120</v>
      </c>
      <c r="AA21" s="102"/>
      <c r="AB21" s="102"/>
      <c r="AC21" s="102"/>
      <c r="AD21" s="99"/>
      <c r="AE21" s="97" t="s">
        <v>113</v>
      </c>
      <c r="AF21" s="102"/>
      <c r="AG21" s="99"/>
      <c r="AH21" s="97" t="s">
        <v>114</v>
      </c>
      <c r="AI21" s="102"/>
      <c r="AJ21" s="99"/>
      <c r="AK21" s="97" t="s">
        <v>115</v>
      </c>
      <c r="AL21" s="102"/>
      <c r="AM21" s="99"/>
      <c r="AN21" s="97" t="s">
        <v>116</v>
      </c>
      <c r="AO21" s="99"/>
      <c r="AP21" s="8" t="s">
        <v>117</v>
      </c>
      <c r="AQ21" s="8" t="s">
        <v>118</v>
      </c>
      <c r="AR21" s="33"/>
      <c r="AS21" s="97" t="s">
        <v>119</v>
      </c>
      <c r="AT21" s="98"/>
      <c r="AW21"/>
      <c r="AX21" s="92" t="s">
        <v>165</v>
      </c>
      <c r="AY21" s="92"/>
      <c r="AZ21" s="92"/>
      <c r="BA21" s="92"/>
      <c r="BB21"/>
      <c r="BC21" s="91" t="s">
        <v>170</v>
      </c>
      <c r="BD21"/>
      <c r="BE21" s="19" t="s">
        <v>186</v>
      </c>
      <c r="BF21"/>
      <c r="BG21" s="3" t="s">
        <v>159</v>
      </c>
      <c r="BH21" s="3" t="s">
        <v>161</v>
      </c>
      <c r="BI21" s="14" t="s">
        <v>163</v>
      </c>
      <c r="BJ21"/>
    </row>
    <row r="22" spans="1:62" ht="18" x14ac:dyDescent="0.35">
      <c r="A22" s="27" t="s">
        <v>32</v>
      </c>
      <c r="B22" s="39" t="s">
        <v>33</v>
      </c>
      <c r="C22" s="21" t="s">
        <v>34</v>
      </c>
      <c r="D22" s="27" t="s">
        <v>29</v>
      </c>
      <c r="E22" s="27" t="s">
        <v>39</v>
      </c>
      <c r="F22" s="27" t="s">
        <v>30</v>
      </c>
      <c r="G22" s="27" t="s">
        <v>35</v>
      </c>
      <c r="H22" s="27" t="s">
        <v>36</v>
      </c>
      <c r="I22" s="27" t="s">
        <v>37</v>
      </c>
      <c r="J22" s="27" t="s">
        <v>38</v>
      </c>
      <c r="K22" s="27" t="s">
        <v>40</v>
      </c>
      <c r="L22" s="27" t="s">
        <v>41</v>
      </c>
      <c r="M22" s="27" t="s">
        <v>42</v>
      </c>
      <c r="N22" s="27" t="s">
        <v>43</v>
      </c>
      <c r="O22" s="27" t="s">
        <v>44</v>
      </c>
      <c r="P22" s="27" t="s">
        <v>45</v>
      </c>
      <c r="Q22" s="27" t="s">
        <v>46</v>
      </c>
      <c r="R22" s="27" t="s">
        <v>49</v>
      </c>
      <c r="S22" s="27" t="s">
        <v>50</v>
      </c>
      <c r="T22" s="39" t="s">
        <v>55</v>
      </c>
      <c r="U22" s="39" t="s">
        <v>56</v>
      </c>
      <c r="V22" s="27" t="s">
        <v>332</v>
      </c>
      <c r="W22" s="27" t="s">
        <v>206</v>
      </c>
      <c r="X22" s="27" t="s">
        <v>58</v>
      </c>
      <c r="Z22" s="31" t="s">
        <v>59</v>
      </c>
      <c r="AA22" s="12" t="s">
        <v>60</v>
      </c>
      <c r="AB22" s="12" t="s">
        <v>61</v>
      </c>
      <c r="AC22" s="12" t="s">
        <v>62</v>
      </c>
      <c r="AD22" s="12" t="s">
        <v>63</v>
      </c>
      <c r="AE22" s="12" t="s">
        <v>65</v>
      </c>
      <c r="AF22" s="12" t="s">
        <v>64</v>
      </c>
      <c r="AG22" s="12" t="s">
        <v>66</v>
      </c>
      <c r="AH22" s="12" t="s">
        <v>41</v>
      </c>
      <c r="AI22" s="12" t="s">
        <v>42</v>
      </c>
      <c r="AJ22" s="12" t="s">
        <v>43</v>
      </c>
      <c r="AK22" s="12" t="s">
        <v>44</v>
      </c>
      <c r="AL22" s="12" t="s">
        <v>45</v>
      </c>
      <c r="AM22" s="12" t="s">
        <v>46</v>
      </c>
      <c r="AN22" s="12" t="s">
        <v>49</v>
      </c>
      <c r="AO22" s="12" t="s">
        <v>50</v>
      </c>
      <c r="AP22" s="11" t="s">
        <v>74</v>
      </c>
      <c r="AQ22" s="11" t="s">
        <v>75</v>
      </c>
      <c r="AR22" s="12" t="s">
        <v>66</v>
      </c>
      <c r="AS22" s="52" t="s">
        <v>202</v>
      </c>
      <c r="AT22" s="52" t="s">
        <v>76</v>
      </c>
      <c r="AW22"/>
      <c r="AX22" s="92" t="s">
        <v>166</v>
      </c>
      <c r="AY22" s="92"/>
      <c r="AZ22" s="92"/>
      <c r="BA22" s="92"/>
      <c r="BB22"/>
      <c r="BC22" s="91"/>
      <c r="BD22"/>
      <c r="BE22" s="19" t="s">
        <v>187</v>
      </c>
      <c r="BF22"/>
      <c r="BG22"/>
      <c r="BH22"/>
      <c r="BI22" s="14" t="s">
        <v>164</v>
      </c>
      <c r="BJ22"/>
    </row>
    <row r="23" spans="1:62" ht="18" x14ac:dyDescent="0.35">
      <c r="A23" s="18" t="s">
        <v>121</v>
      </c>
      <c r="B23" s="47" t="s">
        <v>122</v>
      </c>
      <c r="C23" s="47" t="s">
        <v>123</v>
      </c>
      <c r="D23" s="48" t="s">
        <v>124</v>
      </c>
      <c r="E23" s="38" t="s">
        <v>125</v>
      </c>
      <c r="F23" s="38" t="s">
        <v>126</v>
      </c>
      <c r="G23" s="38" t="s">
        <v>127</v>
      </c>
      <c r="H23" s="38" t="s">
        <v>128</v>
      </c>
      <c r="I23" s="38" t="s">
        <v>129</v>
      </c>
      <c r="J23" s="38" t="s">
        <v>130</v>
      </c>
      <c r="K23" s="38" t="s">
        <v>131</v>
      </c>
      <c r="L23" s="38" t="s">
        <v>132</v>
      </c>
      <c r="M23" s="38" t="s">
        <v>133</v>
      </c>
      <c r="N23" s="38" t="s">
        <v>134</v>
      </c>
      <c r="O23" s="38" t="s">
        <v>135</v>
      </c>
      <c r="P23" s="38" t="s">
        <v>136</v>
      </c>
      <c r="Q23" s="38" t="s">
        <v>134</v>
      </c>
      <c r="R23" s="38" t="s">
        <v>135</v>
      </c>
      <c r="S23" s="38" t="s">
        <v>136</v>
      </c>
      <c r="T23" s="38" t="s">
        <v>117</v>
      </c>
      <c r="U23" s="38" t="s">
        <v>118</v>
      </c>
      <c r="V23" s="38" t="s">
        <v>131</v>
      </c>
      <c r="W23" s="38" t="s">
        <v>137</v>
      </c>
      <c r="X23" s="38" t="s">
        <v>137</v>
      </c>
      <c r="Z23" s="48" t="s">
        <v>124</v>
      </c>
      <c r="AA23" s="38" t="s">
        <v>125</v>
      </c>
      <c r="AB23" s="38" t="s">
        <v>126</v>
      </c>
      <c r="AC23" s="38" t="s">
        <v>127</v>
      </c>
      <c r="AD23" s="38" t="s">
        <v>128</v>
      </c>
      <c r="AE23" s="38" t="s">
        <v>129</v>
      </c>
      <c r="AF23" s="38" t="s">
        <v>130</v>
      </c>
      <c r="AG23" s="38" t="s">
        <v>131</v>
      </c>
      <c r="AH23" s="38" t="s">
        <v>132</v>
      </c>
      <c r="AI23" s="38" t="s">
        <v>133</v>
      </c>
      <c r="AJ23" s="38" t="s">
        <v>134</v>
      </c>
      <c r="AK23" s="38" t="s">
        <v>135</v>
      </c>
      <c r="AL23" s="38" t="s">
        <v>136</v>
      </c>
      <c r="AM23" s="38" t="s">
        <v>134</v>
      </c>
      <c r="AN23" s="38" t="s">
        <v>135</v>
      </c>
      <c r="AO23" s="38" t="s">
        <v>136</v>
      </c>
      <c r="AP23" s="38" t="s">
        <v>117</v>
      </c>
      <c r="AQ23" s="38" t="s">
        <v>118</v>
      </c>
      <c r="AR23" s="38" t="s">
        <v>131</v>
      </c>
      <c r="AS23" s="38" t="s">
        <v>141</v>
      </c>
      <c r="AT23" s="38" t="s">
        <v>141</v>
      </c>
      <c r="AW23"/>
      <c r="AX23" s="92" t="s">
        <v>167</v>
      </c>
      <c r="AY23" s="92"/>
      <c r="AZ23" s="92"/>
      <c r="BA23" s="92"/>
      <c r="BB23"/>
      <c r="BC23" s="91"/>
      <c r="BD23"/>
      <c r="BE23" s="19" t="s">
        <v>188</v>
      </c>
      <c r="BF23"/>
      <c r="BG23" t="s">
        <v>180</v>
      </c>
      <c r="BH23" s="16" t="s">
        <v>178</v>
      </c>
      <c r="BI23" t="s">
        <v>182</v>
      </c>
      <c r="BJ23" t="s">
        <v>184</v>
      </c>
    </row>
    <row r="24" spans="1:62" ht="18" x14ac:dyDescent="0.35">
      <c r="L24" s="87" t="s">
        <v>337</v>
      </c>
      <c r="M24" s="88"/>
      <c r="N24" s="89"/>
      <c r="O24" s="87" t="s">
        <v>338</v>
      </c>
      <c r="P24" s="88"/>
      <c r="Q24" s="89"/>
      <c r="V24" s="84" t="s">
        <v>333</v>
      </c>
      <c r="AH24" s="87" t="s">
        <v>337</v>
      </c>
      <c r="AI24" s="88"/>
      <c r="AJ24" s="89"/>
      <c r="AK24" s="87" t="s">
        <v>338</v>
      </c>
      <c r="AL24" s="88"/>
      <c r="AM24" s="89"/>
      <c r="AR24" s="84" t="s">
        <v>333</v>
      </c>
      <c r="AW24"/>
      <c r="AX24" s="92" t="s">
        <v>168</v>
      </c>
      <c r="AY24" s="92"/>
      <c r="AZ24" s="92"/>
      <c r="BA24" s="92"/>
      <c r="BB24"/>
      <c r="BC24" s="91"/>
      <c r="BD24" t="s">
        <v>173</v>
      </c>
      <c r="BE24" s="19" t="s">
        <v>189</v>
      </c>
      <c r="BF24"/>
      <c r="BG24" t="s">
        <v>181</v>
      </c>
      <c r="BH24" s="16" t="s">
        <v>179</v>
      </c>
      <c r="BI24" t="s">
        <v>183</v>
      </c>
      <c r="BJ24" t="s">
        <v>185</v>
      </c>
    </row>
    <row r="25" spans="1:62" x14ac:dyDescent="0.25">
      <c r="V25" s="85" t="s">
        <v>334</v>
      </c>
      <c r="AR25" s="85" t="s">
        <v>334</v>
      </c>
      <c r="AW25"/>
      <c r="AX25"/>
      <c r="AY25"/>
      <c r="AZ25"/>
      <c r="BA25"/>
      <c r="BB25"/>
      <c r="BC25" s="14"/>
      <c r="BD25"/>
      <c r="BE25"/>
      <c r="BF25"/>
      <c r="BG25"/>
      <c r="BH25"/>
      <c r="BI25"/>
      <c r="BJ25"/>
    </row>
    <row r="26" spans="1:62" x14ac:dyDescent="0.25">
      <c r="V26" s="85" t="s">
        <v>335</v>
      </c>
      <c r="AR26" s="85" t="s">
        <v>339</v>
      </c>
      <c r="AW26"/>
      <c r="AX26"/>
      <c r="AY26"/>
      <c r="AZ26"/>
      <c r="BA26"/>
      <c r="BB26"/>
      <c r="BC26"/>
      <c r="BD26"/>
      <c r="BE26"/>
      <c r="BF26"/>
      <c r="BI26"/>
      <c r="BJ26" t="s">
        <v>174</v>
      </c>
    </row>
    <row r="27" spans="1:62" x14ac:dyDescent="0.25">
      <c r="V27" s="39" t="s">
        <v>336</v>
      </c>
      <c r="AR27" s="39" t="s">
        <v>336</v>
      </c>
    </row>
  </sheetData>
  <mergeCells count="47">
    <mergeCell ref="A14:B14"/>
    <mergeCell ref="A21:C21"/>
    <mergeCell ref="D21:H21"/>
    <mergeCell ref="I21:K21"/>
    <mergeCell ref="L21:N21"/>
    <mergeCell ref="AW1:BG1"/>
    <mergeCell ref="AW3:BA3"/>
    <mergeCell ref="AW10:BA10"/>
    <mergeCell ref="AW13:BA13"/>
    <mergeCell ref="AW14:BA14"/>
    <mergeCell ref="AW11:BA11"/>
    <mergeCell ref="AW12:BA12"/>
    <mergeCell ref="AW4:BA4"/>
    <mergeCell ref="AW5:BA5"/>
    <mergeCell ref="AW6:BA6"/>
    <mergeCell ref="AW7:BA7"/>
    <mergeCell ref="AW8:BA8"/>
    <mergeCell ref="BG5:BI5"/>
    <mergeCell ref="BG12:BI12"/>
    <mergeCell ref="R13:S13"/>
    <mergeCell ref="R15:S15"/>
    <mergeCell ref="AN13:AO13"/>
    <mergeCell ref="AN15:AO15"/>
    <mergeCell ref="AW15:BA15"/>
    <mergeCell ref="BC11:BC15"/>
    <mergeCell ref="BC4:BC8"/>
    <mergeCell ref="AX21:BA21"/>
    <mergeCell ref="AX22:BA22"/>
    <mergeCell ref="AX23:BA23"/>
    <mergeCell ref="AX17:BE17"/>
    <mergeCell ref="AX20:BA20"/>
    <mergeCell ref="BC21:BC24"/>
    <mergeCell ref="L24:N24"/>
    <mergeCell ref="O24:Q24"/>
    <mergeCell ref="AH24:AJ24"/>
    <mergeCell ref="AK24:AM24"/>
    <mergeCell ref="BG18:BI18"/>
    <mergeCell ref="AX24:BA24"/>
    <mergeCell ref="AS21:AT21"/>
    <mergeCell ref="AN21:AO21"/>
    <mergeCell ref="O21:Q21"/>
    <mergeCell ref="W21:X21"/>
    <mergeCell ref="R21:S21"/>
    <mergeCell ref="Z21:AD21"/>
    <mergeCell ref="AE21:AG21"/>
    <mergeCell ref="AH21:AJ21"/>
    <mergeCell ref="AK21:AM2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3DD6-3942-4798-A8D7-AF76C14CD8F1}">
  <dimension ref="A1:BJ204"/>
  <sheetViews>
    <sheetView tabSelected="1" zoomScale="115" zoomScaleNormal="115" workbookViewId="0">
      <selection activeCell="S6" sqref="S6"/>
    </sheetView>
  </sheetViews>
  <sheetFormatPr defaultRowHeight="15" x14ac:dyDescent="0.25"/>
  <cols>
    <col min="1" max="1" width="5.5703125" bestFit="1" customWidth="1"/>
    <col min="2" max="2" width="6.42578125" bestFit="1" customWidth="1"/>
    <col min="3" max="3" width="6.140625" bestFit="1" customWidth="1"/>
    <col min="4" max="4" width="4.42578125" bestFit="1" customWidth="1"/>
    <col min="5" max="5" width="7.140625" customWidth="1"/>
    <col min="6" max="6" width="6.5703125" customWidth="1"/>
    <col min="7" max="7" width="8.85546875" customWidth="1"/>
    <col min="8" max="8" width="5.42578125" bestFit="1" customWidth="1"/>
    <col min="9" max="9" width="4.42578125" bestFit="1" customWidth="1"/>
    <col min="10" max="10" width="5.42578125" bestFit="1" customWidth="1"/>
    <col min="11" max="11" width="6.7109375" bestFit="1" customWidth="1"/>
    <col min="12" max="12" width="6.7109375" customWidth="1"/>
    <col min="13" max="13" width="4.5703125" bestFit="1" customWidth="1"/>
    <col min="14" max="14" width="6.42578125" customWidth="1"/>
    <col min="15" max="16" width="5.85546875" customWidth="1"/>
    <col min="17" max="17" width="8.42578125" customWidth="1"/>
    <col min="18" max="19" width="12" bestFit="1" customWidth="1"/>
    <col min="20" max="20" width="11.7109375" bestFit="1" customWidth="1"/>
    <col min="21" max="21" width="14.7109375" bestFit="1" customWidth="1"/>
    <col min="22" max="22" width="5.42578125" bestFit="1" customWidth="1"/>
    <col min="23" max="23" width="9.85546875" bestFit="1" customWidth="1"/>
    <col min="24" max="24" width="11.85546875" bestFit="1" customWidth="1"/>
    <col min="25" max="25" width="1.42578125" style="30" bestFit="1" customWidth="1"/>
    <col min="26" max="26" width="4.42578125" bestFit="1" customWidth="1"/>
    <col min="27" max="28" width="5.42578125" bestFit="1" customWidth="1"/>
    <col min="40" max="40" width="8.85546875" bestFit="1" customWidth="1"/>
    <col min="41" max="41" width="6" bestFit="1" customWidth="1"/>
    <col min="42" max="42" width="11.7109375" bestFit="1" customWidth="1"/>
    <col min="43" max="43" width="10.28515625" bestFit="1" customWidth="1"/>
    <col min="44" max="45" width="10.28515625" customWidth="1"/>
    <col min="46" max="46" width="10.42578125" bestFit="1" customWidth="1"/>
    <col min="47" max="47" width="1.42578125" style="30" bestFit="1" customWidth="1"/>
    <col min="50" max="50" width="9.5703125" bestFit="1" customWidth="1"/>
    <col min="55" max="55" width="12.42578125" bestFit="1" customWidth="1"/>
    <col min="59" max="59" width="5.42578125" bestFit="1" customWidth="1"/>
    <col min="60" max="60" width="6.42578125" bestFit="1" customWidth="1"/>
  </cols>
  <sheetData>
    <row r="1" spans="1:60" ht="18" thickBot="1" x14ac:dyDescent="0.3">
      <c r="A1" s="3" t="s">
        <v>0</v>
      </c>
      <c r="B1" s="3">
        <v>20</v>
      </c>
      <c r="C1" s="3" t="s">
        <v>1</v>
      </c>
      <c r="Y1" s="29"/>
      <c r="AU1" s="29"/>
      <c r="AW1" s="90" t="s">
        <v>190</v>
      </c>
      <c r="AX1" s="90"/>
      <c r="AY1" s="90"/>
      <c r="AZ1" s="90"/>
      <c r="BA1" s="90"/>
      <c r="BB1" s="90"/>
      <c r="BC1" s="90"/>
      <c r="BD1" s="90"/>
      <c r="BE1" s="90"/>
      <c r="BF1" s="90"/>
      <c r="BG1" s="90"/>
    </row>
    <row r="2" spans="1:60" ht="15.75" thickBot="1" x14ac:dyDescent="0.3">
      <c r="A2" s="3" t="s">
        <v>2</v>
      </c>
      <c r="B2" s="3">
        <v>0</v>
      </c>
      <c r="C2" s="3" t="s">
        <v>3</v>
      </c>
      <c r="E2" s="103" t="s">
        <v>191</v>
      </c>
      <c r="F2" s="104"/>
      <c r="G2" s="105"/>
      <c r="J2" s="67" t="s">
        <v>220</v>
      </c>
      <c r="K2" s="7">
        <f>0*PI()/180</f>
        <v>0</v>
      </c>
    </row>
    <row r="3" spans="1:60" ht="18" x14ac:dyDescent="0.35">
      <c r="A3" s="3" t="s">
        <v>4</v>
      </c>
      <c r="B3" s="62">
        <f>30*PI()/180</f>
        <v>0.52359877559829882</v>
      </c>
      <c r="C3" s="3" t="s">
        <v>5</v>
      </c>
      <c r="E3" t="s">
        <v>194</v>
      </c>
      <c r="F3" s="13">
        <f>p*1000*R_/2*((1+k)*(1+h/R_-1/(1+h/R_))-(1-k)*(1+h/R_-1/(1+h/R_)^3))</f>
        <v>6195.0535864282729</v>
      </c>
      <c r="G3" t="s">
        <v>22</v>
      </c>
      <c r="J3" t="s">
        <v>221</v>
      </c>
      <c r="K3" s="1">
        <f>-SIN(θ0)</f>
        <v>0</v>
      </c>
      <c r="AW3" s="90" t="s">
        <v>25</v>
      </c>
      <c r="AX3" s="90"/>
      <c r="AY3" s="90"/>
      <c r="AZ3" s="90"/>
      <c r="BA3" s="90"/>
      <c r="BC3" s="32" t="s">
        <v>77</v>
      </c>
      <c r="BE3" s="32" t="s">
        <v>78</v>
      </c>
    </row>
    <row r="4" spans="1:60" ht="18" x14ac:dyDescent="0.35">
      <c r="A4" s="3" t="s">
        <v>28</v>
      </c>
      <c r="B4" s="61">
        <f>0*PI()/180</f>
        <v>0</v>
      </c>
      <c r="C4" s="3" t="s">
        <v>5</v>
      </c>
      <c r="E4" t="s">
        <v>180</v>
      </c>
      <c r="F4" s="13">
        <f>H0*(Ks*COS(α1)^2+SIN(α1)^2)*COS(φ)/(Ks*COS(α1)*COS(φ)+SIN(α1)*SIN(φ))</f>
        <v>4827.2271034903379</v>
      </c>
      <c r="G4" t="s">
        <v>22</v>
      </c>
      <c r="K4" s="1">
        <f>-COS(θ0)</f>
        <v>-1</v>
      </c>
      <c r="AW4" s="1">
        <f>K3</f>
        <v>0</v>
      </c>
      <c r="AX4" s="1">
        <f>-mx1_*Ks-TAN(i)*nx1_</f>
        <v>-4.2261826174069948E-2</v>
      </c>
      <c r="AY4" s="1">
        <f>nx1_*1</f>
        <v>0.90630778703664994</v>
      </c>
      <c r="AZ4" s="1">
        <f>-mx2_*Ks-TAN(i)*nx2_</f>
        <v>4.2261826174069955E-2</v>
      </c>
      <c r="BA4" s="1">
        <f>nx2_*1</f>
        <v>-0.90630778703664994</v>
      </c>
      <c r="BC4" s="14">
        <f>N01_*nx1_+N02_*nx2_+S01_*mx1_+S02_*mx2_-Fa*nx1_-Fb*nx2_</f>
        <v>-2.0674655628074561</v>
      </c>
      <c r="BE4" s="20" cm="1">
        <f t="array" ref="BE4:BE8">MMULT(MINVERSE($AW$4:$BA$8),BC4:BC8)</f>
        <v>968.13013274971695</v>
      </c>
    </row>
    <row r="5" spans="1:60" ht="18" x14ac:dyDescent="0.35">
      <c r="A5" s="3" t="s">
        <v>16</v>
      </c>
      <c r="B5" s="3">
        <v>0</v>
      </c>
      <c r="C5" s="3" t="s">
        <v>3</v>
      </c>
      <c r="E5" t="s">
        <v>195</v>
      </c>
      <c r="F5" s="13">
        <f>H0*(Ks*COS(α2)^2+SIN(α2)^2)*COS(φ)/(Ks*COS(α2)*COS(φ)+SIN(α2)*SIN(φ))</f>
        <v>4827.2271034903379</v>
      </c>
      <c r="G5" t="s">
        <v>22</v>
      </c>
      <c r="AW5" s="1">
        <f>K4</f>
        <v>-1</v>
      </c>
      <c r="AX5" s="1">
        <f>-my1_*Ks-TAN(i)*ny1_</f>
        <v>9.0630778703664996E-2</v>
      </c>
      <c r="AY5" s="1">
        <f>ny1_*1</f>
        <v>0.42261826174069944</v>
      </c>
      <c r="AZ5" s="1">
        <f>-my2_*Ks-TAN(i)*ny2_</f>
        <v>9.0630778703664996E-2</v>
      </c>
      <c r="BA5" s="1">
        <f>ny2_*1</f>
        <v>0.4226182617406995</v>
      </c>
      <c r="BC5" s="14">
        <f>N01_*ny1_+N02_*ny2_+S01_*my1_+S02_*my2_-Fa*ny1_-Fb*ny2_</f>
        <v>4.1675608729992746</v>
      </c>
      <c r="BE5" s="19">
        <v>1690.2922156701743</v>
      </c>
    </row>
    <row r="6" spans="1:60" ht="18.75" thickBot="1" x14ac:dyDescent="0.4">
      <c r="A6" s="3" t="s">
        <v>192</v>
      </c>
      <c r="B6" s="61">
        <v>0.1</v>
      </c>
      <c r="C6" s="3"/>
      <c r="E6" t="s">
        <v>85</v>
      </c>
      <c r="F6" s="13">
        <f>MAX(F4/COS(φ)*SIN(φ-α1)+F5/COS(φ)*SIN(φ-α2),0)</f>
        <v>971.61252262998914</v>
      </c>
      <c r="G6" t="s">
        <v>22</v>
      </c>
      <c r="AW6" s="1">
        <v>0</v>
      </c>
      <c r="AX6" s="1">
        <f>mx1_</f>
        <v>0.42261826174069944</v>
      </c>
      <c r="AY6" s="1">
        <f>-nx1_</f>
        <v>-0.90630778703664994</v>
      </c>
      <c r="AZ6" s="1">
        <f>-mx2_</f>
        <v>0.4226182617406995</v>
      </c>
      <c r="BA6" s="1">
        <f>nx2_</f>
        <v>-0.90630778703664994</v>
      </c>
      <c r="BC6">
        <v>0</v>
      </c>
      <c r="BE6" s="19">
        <v>786.83714372504937</v>
      </c>
      <c r="BG6" s="3" t="s">
        <v>31</v>
      </c>
      <c r="BH6" s="3" t="s">
        <v>31</v>
      </c>
    </row>
    <row r="7" spans="1:60" ht="15.75" thickBot="1" x14ac:dyDescent="0.3">
      <c r="A7" s="3" t="s">
        <v>7</v>
      </c>
      <c r="B7" s="3">
        <v>70</v>
      </c>
      <c r="C7" s="3" t="s">
        <v>8</v>
      </c>
      <c r="E7" s="50" t="s">
        <v>79</v>
      </c>
      <c r="F7" s="49">
        <f>F6/W</f>
        <v>1.9239034622631812</v>
      </c>
      <c r="AW7" s="1">
        <v>0</v>
      </c>
      <c r="AX7" s="1">
        <f>my1_</f>
        <v>-0.90630778703664994</v>
      </c>
      <c r="AY7" s="1">
        <f>-ny1_</f>
        <v>-0.42261826174069944</v>
      </c>
      <c r="AZ7" s="1">
        <f>-my2_</f>
        <v>0.90630778703664994</v>
      </c>
      <c r="BA7" s="1">
        <f>ny2_</f>
        <v>0.4226182617406995</v>
      </c>
      <c r="BC7">
        <v>0</v>
      </c>
      <c r="BE7" s="19">
        <v>1689.2511145725784</v>
      </c>
      <c r="BG7" s="14">
        <f>(us1a*mx1_-un1a*nx1_)/SQRT(us1a^2+un1a^2)</f>
        <v>6.6063601006569777E-4</v>
      </c>
      <c r="BH7" s="14">
        <f>(us2a*mx2_-un2a*nx2_)/SQRT(us2a^2+un2a^2)</f>
        <v>6.6063601006588067E-4</v>
      </c>
    </row>
    <row r="8" spans="1:60" ht="15.75" thickBot="1" x14ac:dyDescent="0.3">
      <c r="A8" s="3" t="s">
        <v>9</v>
      </c>
      <c r="B8" s="38">
        <f>γ*z/1000</f>
        <v>1.4</v>
      </c>
      <c r="C8" s="3" t="s">
        <v>10</v>
      </c>
      <c r="AW8" s="1">
        <v>0</v>
      </c>
      <c r="AX8" s="1">
        <f>Ks-1*TAN(i)*TAN(φ)</f>
        <v>0.1</v>
      </c>
      <c r="AY8" s="1">
        <f>1*TAN(φ)</f>
        <v>0.57735026918962573</v>
      </c>
      <c r="AZ8" s="1">
        <v>0</v>
      </c>
      <c r="BA8" s="1">
        <v>0</v>
      </c>
      <c r="BC8" s="16">
        <f>N01_*TAN(φ)-S01_+Ca</f>
        <v>623.30985830507097</v>
      </c>
      <c r="BE8" s="19">
        <v>789.06979223379415</v>
      </c>
      <c r="BG8" s="14">
        <f>(us1a*my1_-un1a*ny1_)/SQRT(us1a^2+un1a^2)</f>
        <v>-0.99999978178000726</v>
      </c>
      <c r="BH8" s="14">
        <f>(us2a*my2_-un2a*ny2_)/SQRT(us2a^2+un2a^2)</f>
        <v>-0.99999978178000726</v>
      </c>
    </row>
    <row r="9" spans="1:60" ht="15.75" thickBot="1" x14ac:dyDescent="0.3">
      <c r="A9" s="3" t="s">
        <v>11</v>
      </c>
      <c r="B9" s="61">
        <v>0.5</v>
      </c>
      <c r="C9" s="3" t="s">
        <v>10</v>
      </c>
      <c r="E9" s="103" t="s">
        <v>193</v>
      </c>
      <c r="F9" s="104"/>
      <c r="G9" s="105"/>
    </row>
    <row r="10" spans="1:60" ht="15.75" thickBot="1" x14ac:dyDescent="0.3">
      <c r="A10" s="3" t="s">
        <v>12</v>
      </c>
      <c r="B10" s="3">
        <v>5</v>
      </c>
      <c r="C10" s="3" t="s">
        <v>8</v>
      </c>
      <c r="E10" t="s">
        <v>85</v>
      </c>
      <c r="F10" s="13">
        <f>MAX(((COS(α1)^2*COS(i)*Ks+SIN(α1-i)*SIN(α1))*SIN(φ-α1)/(COS(α1)*COS(φ)*COS(i)*Ks+SIN(φ)*SIN(α1-i))+(COS(α2)^2*COS(i)*Ks+SIN(α2-i)*SIN(α2))*SIN(φ-α2)/(COS(α2)*COS(φ)*COS(i)*Ks+SIN(φ)*SIN(α2-i)))*H0,0)</f>
        <v>971.61252262998926</v>
      </c>
      <c r="G10" t="s">
        <v>22</v>
      </c>
      <c r="R10" s="3"/>
      <c r="S10" s="3"/>
      <c r="T10" s="3"/>
      <c r="U10" s="3"/>
      <c r="V10" s="3"/>
      <c r="W10" s="3"/>
      <c r="AW10" s="90" t="s">
        <v>80</v>
      </c>
      <c r="AX10" s="90"/>
      <c r="AY10" s="90"/>
      <c r="AZ10" s="90"/>
      <c r="BA10" s="90"/>
      <c r="BC10" s="32" t="s">
        <v>81</v>
      </c>
      <c r="BE10" s="32" t="s">
        <v>82</v>
      </c>
      <c r="BG10">
        <f>ATAN2(-BG8,BG7)*180/PI()</f>
        <v>3.7851657924456196E-2</v>
      </c>
    </row>
    <row r="11" spans="1:60" ht="18.75" thickBot="1" x14ac:dyDescent="0.4">
      <c r="A11" s="3" t="s">
        <v>14</v>
      </c>
      <c r="B11" s="63">
        <f>25*PI()/180</f>
        <v>0.43633231299858238</v>
      </c>
      <c r="C11" s="3" t="s">
        <v>5</v>
      </c>
      <c r="E11" s="50" t="s">
        <v>79</v>
      </c>
      <c r="F11" s="49">
        <f>F10/W</f>
        <v>1.9239034622631814</v>
      </c>
      <c r="R11" s="3"/>
      <c r="S11" s="3"/>
      <c r="T11" s="3"/>
      <c r="U11" s="3"/>
      <c r="V11" s="3"/>
      <c r="W11" s="3"/>
      <c r="AW11" s="1">
        <f t="shared" ref="AW11:BA14" si="0">AW4</f>
        <v>0</v>
      </c>
      <c r="AX11" s="1">
        <f t="shared" si="0"/>
        <v>-4.2261826174069948E-2</v>
      </c>
      <c r="AY11" s="1">
        <f t="shared" si="0"/>
        <v>0.90630778703664994</v>
      </c>
      <c r="AZ11" s="1">
        <f t="shared" si="0"/>
        <v>4.2261826174069955E-2</v>
      </c>
      <c r="BA11" s="1">
        <f t="shared" si="0"/>
        <v>-0.90630778703664994</v>
      </c>
      <c r="BC11" s="14">
        <f>BC4</f>
        <v>-2.0674655628074561</v>
      </c>
      <c r="BE11" s="20" cm="1">
        <f t="array" ref="BE11:BE15">MMULT(MINVERSE($AW$11:$BA$15),BC11:BC15)</f>
        <v>974.55588336886581</v>
      </c>
    </row>
    <row r="12" spans="1:60" ht="18.75" thickBot="1" x14ac:dyDescent="0.4">
      <c r="A12" s="3" t="s">
        <v>15</v>
      </c>
      <c r="B12" s="5">
        <f>25*PI()/180</f>
        <v>0.43633231299858238</v>
      </c>
      <c r="C12" s="3" t="s">
        <v>5</v>
      </c>
      <c r="O12" t="s">
        <v>326</v>
      </c>
      <c r="P12">
        <f>c_*IF(C14=0,SUM(K24:K203),SUM(V24:V203))</f>
        <v>0</v>
      </c>
      <c r="R12" s="22" t="s">
        <v>47</v>
      </c>
      <c r="S12" s="10" t="s">
        <v>48</v>
      </c>
      <c r="T12" s="3"/>
      <c r="U12" s="3"/>
      <c r="V12" s="3"/>
      <c r="W12" s="3"/>
      <c r="AK12" t="s">
        <v>329</v>
      </c>
      <c r="AL12">
        <f>c_*IF(C14=0,SUM(AG24:AG203),SUM(AR24:AR203))</f>
        <v>0</v>
      </c>
      <c r="AN12" s="22" t="s">
        <v>67</v>
      </c>
      <c r="AO12" s="10" t="s">
        <v>68</v>
      </c>
      <c r="AP12" s="3"/>
      <c r="AW12" s="1">
        <f t="shared" si="0"/>
        <v>-1</v>
      </c>
      <c r="AX12" s="1">
        <f t="shared" si="0"/>
        <v>9.0630778703664996E-2</v>
      </c>
      <c r="AY12" s="1">
        <f t="shared" si="0"/>
        <v>0.42261826174069944</v>
      </c>
      <c r="AZ12" s="1">
        <f t="shared" si="0"/>
        <v>9.0630778703664996E-2</v>
      </c>
      <c r="BA12" s="1">
        <f t="shared" si="0"/>
        <v>0.4226182617406995</v>
      </c>
      <c r="BC12" s="14">
        <f>BC5</f>
        <v>4.1675608729992746</v>
      </c>
      <c r="BE12" s="19">
        <v>1701.4596301303666</v>
      </c>
    </row>
    <row r="13" spans="1:60" ht="15.75" thickBot="1" x14ac:dyDescent="0.3">
      <c r="A13" s="6" t="s">
        <v>13</v>
      </c>
      <c r="B13" s="15">
        <f>R_*(1/SIN(MAX(α1,α2))-1)</f>
        <v>6.831007915762493</v>
      </c>
      <c r="C13" s="10" t="s">
        <v>8</v>
      </c>
      <c r="E13" s="103" t="s">
        <v>200</v>
      </c>
      <c r="F13" s="104"/>
      <c r="G13" s="105"/>
      <c r="O13" t="s">
        <v>327</v>
      </c>
      <c r="P13">
        <f>σt*IF(C14=0,SUM(K24:K203),SUM(V24:V203))</f>
        <v>0</v>
      </c>
      <c r="R13" s="23">
        <f>COS(α1-θ0)</f>
        <v>0.90630778703664994</v>
      </c>
      <c r="S13" s="24">
        <f>SIN(α1-θ0)</f>
        <v>0.42261826174069944</v>
      </c>
      <c r="T13" s="3"/>
      <c r="U13" s="3"/>
      <c r="V13" s="3"/>
      <c r="W13" s="3"/>
      <c r="AK13" t="s">
        <v>328</v>
      </c>
      <c r="AL13">
        <f>σt*IF(C14=0,SUM(AG24:AG203),SUM(AR24:AR203))</f>
        <v>0</v>
      </c>
      <c r="AN13" s="23">
        <f>COS(PI()-α2-θ0)</f>
        <v>-0.90630778703664994</v>
      </c>
      <c r="AO13" s="24">
        <f>SIN(PI()-α2-θ0)</f>
        <v>0.4226182617406995</v>
      </c>
      <c r="AP13" s="3"/>
      <c r="AW13" s="1">
        <f t="shared" si="0"/>
        <v>0</v>
      </c>
      <c r="AX13" s="1">
        <f t="shared" si="0"/>
        <v>0.42261826174069944</v>
      </c>
      <c r="AY13" s="1">
        <f t="shared" si="0"/>
        <v>-0.90630778703664994</v>
      </c>
      <c r="AZ13" s="1">
        <f t="shared" si="0"/>
        <v>0.4226182617406995</v>
      </c>
      <c r="BA13" s="1">
        <f t="shared" si="0"/>
        <v>-0.90630778703664994</v>
      </c>
      <c r="BC13" s="14">
        <f>BC6</f>
        <v>0</v>
      </c>
      <c r="BE13" s="19">
        <v>792.04459460962789</v>
      </c>
      <c r="BG13" s="3" t="s">
        <v>31</v>
      </c>
      <c r="BH13" s="3" t="s">
        <v>31</v>
      </c>
    </row>
    <row r="14" spans="1:60" ht="18.75" thickBot="1" x14ac:dyDescent="0.4">
      <c r="A14" s="100" t="s">
        <v>17</v>
      </c>
      <c r="B14" s="101"/>
      <c r="C14" s="11">
        <v>0</v>
      </c>
      <c r="E14" t="s">
        <v>85</v>
      </c>
      <c r="F14" s="54">
        <f>MAX(MIN(Pl1_,Pl2_),0)</f>
        <v>968.13013274971695</v>
      </c>
      <c r="G14" t="s">
        <v>22</v>
      </c>
      <c r="R14" s="18" t="s">
        <v>51</v>
      </c>
      <c r="S14" s="25" t="s">
        <v>52</v>
      </c>
      <c r="T14" s="3"/>
      <c r="U14" s="3"/>
      <c r="V14" s="3"/>
      <c r="W14" s="3"/>
      <c r="AN14" s="18" t="s">
        <v>69</v>
      </c>
      <c r="AO14" s="25" t="s">
        <v>70</v>
      </c>
      <c r="AP14" s="3"/>
      <c r="AW14" s="1">
        <f t="shared" si="0"/>
        <v>0</v>
      </c>
      <c r="AX14" s="1">
        <f t="shared" si="0"/>
        <v>-0.90630778703664994</v>
      </c>
      <c r="AY14" s="1">
        <f t="shared" si="0"/>
        <v>-0.42261826174069944</v>
      </c>
      <c r="AZ14" s="1">
        <f t="shared" si="0"/>
        <v>0.90630778703664994</v>
      </c>
      <c r="BA14" s="1">
        <f t="shared" si="0"/>
        <v>0.4226182617406995</v>
      </c>
      <c r="BC14" s="14">
        <f>BC7</f>
        <v>0</v>
      </c>
      <c r="BE14" s="19">
        <v>1700.4185290327709</v>
      </c>
      <c r="BG14" s="14">
        <f>(us1b*mx1_-un1b*nx1_)/SQRT(us1b^2+un1b^2)</f>
        <v>6.5629864546989686E-4</v>
      </c>
      <c r="BH14" s="14">
        <f>(us2b*mx2_-un2b*nx2_)/SQRT(us2b^2+un2b^2)</f>
        <v>6.5629864546995736E-4</v>
      </c>
    </row>
    <row r="15" spans="1:60" ht="15.75" thickBot="1" x14ac:dyDescent="0.3">
      <c r="A15" s="3" t="s">
        <v>18</v>
      </c>
      <c r="B15" s="14">
        <f>B13</f>
        <v>6.831007915762493</v>
      </c>
      <c r="C15" s="3" t="s">
        <v>8</v>
      </c>
      <c r="E15" s="33" t="s">
        <v>79</v>
      </c>
      <c r="F15" s="55">
        <f>MAX(MIN(Pl1_,Pl2_)/COS(θ0),0)/W</f>
        <v>1.9170079336532053</v>
      </c>
      <c r="R15" s="23">
        <f>SIN(α1-θ0)</f>
        <v>0.42261826174069944</v>
      </c>
      <c r="S15" s="24">
        <f>-COS(α1-θ0)</f>
        <v>-0.90630778703664994</v>
      </c>
      <c r="T15" s="3"/>
      <c r="U15" s="3"/>
      <c r="V15" s="3"/>
      <c r="W15" s="3"/>
      <c r="AN15" s="23">
        <f>-SIN(PI()-α2-θ0)</f>
        <v>-0.4226182617406995</v>
      </c>
      <c r="AO15" s="24">
        <f>COS(PI()-α2-θ0)</f>
        <v>-0.90630778703664994</v>
      </c>
      <c r="AP15" s="3"/>
      <c r="AW15" s="1">
        <v>0</v>
      </c>
      <c r="AX15" s="1">
        <v>0</v>
      </c>
      <c r="AY15" s="1">
        <v>0</v>
      </c>
      <c r="AZ15" s="1">
        <f>AX8</f>
        <v>0.1</v>
      </c>
      <c r="BA15" s="1">
        <f>AY8</f>
        <v>0.57735026918962573</v>
      </c>
      <c r="BC15" s="16">
        <f>N02_*TAN(φ)-S02_+Cb</f>
        <v>628.61803302886347</v>
      </c>
      <c r="BE15" s="19">
        <v>794.27724311837267</v>
      </c>
      <c r="BG15" s="14">
        <f>(us1b*my1_-un1b*ny1_)/SQRT(us1b^2+un1b^2)</f>
        <v>-0.99999978463602068</v>
      </c>
      <c r="BH15" s="14">
        <f>(us2b*my2_-un2b*ny2_)/SQRT(us2b^2+un2b^2)</f>
        <v>-0.99999978463602079</v>
      </c>
    </row>
    <row r="16" spans="1:60" ht="18.75" thickBot="1" x14ac:dyDescent="0.4">
      <c r="A16" s="12" t="s">
        <v>19</v>
      </c>
      <c r="B16" s="17">
        <f>α1+ACOS((R_+h)*SIN(α1)/R_)</f>
        <v>0.43633231299858238</v>
      </c>
      <c r="C16" s="7" t="s">
        <v>5</v>
      </c>
      <c r="R16" s="12" t="s">
        <v>53</v>
      </c>
      <c r="S16" s="26">
        <f>MAX(IF(C14=0,SUM(T24:T203),S18),0)</f>
        <v>5614.5715173491017</v>
      </c>
      <c r="T16" s="7" t="s">
        <v>22</v>
      </c>
      <c r="U16" s="3"/>
      <c r="V16" s="3"/>
      <c r="W16" s="3"/>
      <c r="AN16" s="12" t="s">
        <v>71</v>
      </c>
      <c r="AO16" s="26">
        <f>MAX(IF(C14=0,SUM(AP24:AP203),AO18),0)</f>
        <v>5618.3190376268822</v>
      </c>
      <c r="AP16" s="7" t="s">
        <v>22</v>
      </c>
    </row>
    <row r="17" spans="1:62" ht="18.75" thickBot="1" x14ac:dyDescent="0.4">
      <c r="A17" s="12" t="s">
        <v>20</v>
      </c>
      <c r="B17" s="17">
        <f>α2+ACOS((R_+h)*SIN(α2)/R_)</f>
        <v>0.43633231299858238</v>
      </c>
      <c r="C17" s="7" t="s">
        <v>5</v>
      </c>
      <c r="E17" s="103" t="s">
        <v>200</v>
      </c>
      <c r="F17" s="104"/>
      <c r="G17" s="105"/>
      <c r="R17" s="27" t="s">
        <v>54</v>
      </c>
      <c r="S17" s="28">
        <f>MAX(IF(C14=0,SUM(U24:U203),S19),0)</f>
        <v>2618.2645186208383</v>
      </c>
      <c r="T17" s="21" t="s">
        <v>22</v>
      </c>
      <c r="U17" s="3"/>
      <c r="V17" s="3"/>
      <c r="W17" s="3"/>
      <c r="AN17" s="27" t="s">
        <v>72</v>
      </c>
      <c r="AO17" s="28">
        <f>MAX(IF(C14=0,SUM(AQ24:AQ203),AO19),0)</f>
        <v>2615.119975738216</v>
      </c>
      <c r="AP17" s="21" t="s">
        <v>22</v>
      </c>
      <c r="AX17" s="90" t="s">
        <v>176</v>
      </c>
      <c r="AY17" s="90"/>
      <c r="AZ17" s="90"/>
      <c r="BA17" s="90"/>
      <c r="BB17" s="90"/>
      <c r="BC17" s="90"/>
      <c r="BD17" s="90"/>
      <c r="BE17" s="90"/>
      <c r="BG17">
        <f>ATAN2(-BG15,BG14)*180/PI()</f>
        <v>3.7603145185032161E-2</v>
      </c>
    </row>
    <row r="18" spans="1:62" ht="18.75" thickBot="1" x14ac:dyDescent="0.4">
      <c r="A18" s="12" t="s">
        <v>21</v>
      </c>
      <c r="B18" s="17">
        <f>γ*R_^2/2*(COS(θ1)^2*(TAN(θ1)+1/TAN(α1))+COS(θ2)^2*(TAN(θ2)+1/TAN(α2))-PI()+θ1+θ2)</f>
        <v>505.0214533566222</v>
      </c>
      <c r="C18" s="7" t="s">
        <v>22</v>
      </c>
      <c r="E18" s="2" t="s">
        <v>79</v>
      </c>
      <c r="F18" s="56">
        <f>MAX(-(Ca*my1_+Cb*my2_+(BH23*my1_+BH24*my2_)*TAN(φ+i)-Fa*ny1_-Fb*ny2_)/(W+BH23*ny1_+BH24*ny2_),0)</f>
        <v>1.1106129199931172</v>
      </c>
      <c r="R18" s="12" t="s">
        <v>199</v>
      </c>
      <c r="S18" s="26">
        <f>SUM(W24:W203)</f>
        <v>5614.5715173491017</v>
      </c>
      <c r="T18" s="7" t="s">
        <v>22</v>
      </c>
      <c r="U18" s="3"/>
      <c r="V18" s="3"/>
      <c r="AN18" s="12" t="s">
        <v>203</v>
      </c>
      <c r="AO18" s="26">
        <f>SUM(AS24:AS203)</f>
        <v>5618.3190376268822</v>
      </c>
      <c r="AP18" s="21" t="s">
        <v>22</v>
      </c>
    </row>
    <row r="19" spans="1:62" ht="18.75" thickBot="1" x14ac:dyDescent="0.4">
      <c r="A19" s="12" t="s">
        <v>26</v>
      </c>
      <c r="B19" s="17">
        <f>(R_+h)*COS(θ1)/COS(α1-θ1)</f>
        <v>10.722534602547793</v>
      </c>
      <c r="C19" s="7" t="s">
        <v>8</v>
      </c>
      <c r="E19" t="s">
        <v>31</v>
      </c>
      <c r="F19" s="53">
        <f>BG20</f>
        <v>1.2614853817391912E-3</v>
      </c>
      <c r="G19" s="53">
        <f>BH21</f>
        <v>-0.99999920432699929</v>
      </c>
      <c r="R19" s="27" t="s">
        <v>57</v>
      </c>
      <c r="S19" s="28">
        <f>SUM(X24:X203)</f>
        <v>1485.2929587061853</v>
      </c>
      <c r="T19" s="21" t="s">
        <v>22</v>
      </c>
      <c r="U19" s="3"/>
      <c r="V19" s="3"/>
      <c r="W19" s="3"/>
      <c r="AN19" s="27" t="s">
        <v>73</v>
      </c>
      <c r="AO19" s="28">
        <f>SUM(AT24:AT203)</f>
        <v>1488.3892849600134</v>
      </c>
      <c r="AP19" s="21" t="s">
        <v>22</v>
      </c>
      <c r="BG19" s="3" t="s">
        <v>31</v>
      </c>
      <c r="BH19" s="3" t="s">
        <v>31</v>
      </c>
    </row>
    <row r="20" spans="1:62" ht="18.75" thickBot="1" x14ac:dyDescent="0.4">
      <c r="A20" s="22" t="s">
        <v>27</v>
      </c>
      <c r="B20" s="36">
        <f>(R_+h)*COS(θ2)/COS(α2-θ2)</f>
        <v>10.722534602547793</v>
      </c>
      <c r="C20" s="10" t="s">
        <v>8</v>
      </c>
      <c r="E20" t="s">
        <v>201</v>
      </c>
      <c r="F20" s="53">
        <f>ATAN2(-G19,F19)*180/PI()</f>
        <v>7.2277807460939508E-2</v>
      </c>
      <c r="G20" s="57" t="str">
        <f>IF(AND(F20*PI()/180&lt;α1-θ0,-F20*PI()/180&lt;α2+θ0),"ok","wrong")</f>
        <v>ok</v>
      </c>
      <c r="AX20" s="90" t="s">
        <v>86</v>
      </c>
      <c r="AY20" s="90"/>
      <c r="AZ20" s="90"/>
      <c r="BA20" s="90"/>
      <c r="BC20" s="32" t="s">
        <v>87</v>
      </c>
      <c r="BE20" s="32" t="s">
        <v>88</v>
      </c>
      <c r="BG20" s="14">
        <f>(us1c*mx1_-un1c*nx1_)/SQRT(us1c^2+un1c^2)</f>
        <v>1.2614853817391912E-3</v>
      </c>
      <c r="BH20" s="14">
        <f>(us2c*mx2_-un2c*nx2_)/SQRT(us2c^2+un2c^2)</f>
        <v>1.2614853817392493E-3</v>
      </c>
    </row>
    <row r="21" spans="1:62" ht="15.75" thickBot="1" x14ac:dyDescent="0.3">
      <c r="A21" s="97" t="s">
        <v>90</v>
      </c>
      <c r="B21" s="102"/>
      <c r="C21" s="99"/>
      <c r="D21" s="97" t="s">
        <v>112</v>
      </c>
      <c r="E21" s="102"/>
      <c r="F21" s="102"/>
      <c r="G21" s="102"/>
      <c r="H21" s="99"/>
      <c r="I21" s="97" t="s">
        <v>113</v>
      </c>
      <c r="J21" s="102"/>
      <c r="K21" s="99"/>
      <c r="L21" s="97" t="s">
        <v>114</v>
      </c>
      <c r="M21" s="102"/>
      <c r="N21" s="99"/>
      <c r="O21" s="97" t="s">
        <v>115</v>
      </c>
      <c r="P21" s="102"/>
      <c r="Q21" s="99"/>
      <c r="R21" s="97" t="s">
        <v>116</v>
      </c>
      <c r="S21" s="99"/>
      <c r="T21" s="8" t="s">
        <v>117</v>
      </c>
      <c r="U21" s="8" t="s">
        <v>118</v>
      </c>
      <c r="V21" s="33"/>
      <c r="W21" s="97" t="s">
        <v>119</v>
      </c>
      <c r="X21" s="99"/>
      <c r="Y21" s="40"/>
      <c r="Z21" s="97" t="s">
        <v>120</v>
      </c>
      <c r="AA21" s="102"/>
      <c r="AB21" s="102"/>
      <c r="AC21" s="102"/>
      <c r="AD21" s="99"/>
      <c r="AE21" s="97" t="s">
        <v>113</v>
      </c>
      <c r="AF21" s="102"/>
      <c r="AG21" s="99"/>
      <c r="AH21" s="97" t="s">
        <v>114</v>
      </c>
      <c r="AI21" s="102"/>
      <c r="AJ21" s="99"/>
      <c r="AK21" s="97" t="s">
        <v>115</v>
      </c>
      <c r="AL21" s="102"/>
      <c r="AM21" s="99"/>
      <c r="AN21" s="97" t="s">
        <v>116</v>
      </c>
      <c r="AO21" s="99"/>
      <c r="AP21" s="8" t="s">
        <v>117</v>
      </c>
      <c r="AQ21" s="8" t="s">
        <v>118</v>
      </c>
      <c r="AR21" s="33"/>
      <c r="AS21" s="97" t="s">
        <v>119</v>
      </c>
      <c r="AT21" s="99"/>
      <c r="AX21" s="4">
        <f t="shared" ref="AX21:BA24" si="1">AX11</f>
        <v>-4.2261826174069948E-2</v>
      </c>
      <c r="AY21" s="4">
        <f t="shared" si="1"/>
        <v>0.90630778703664994</v>
      </c>
      <c r="AZ21" s="4">
        <f t="shared" si="1"/>
        <v>4.2261826174069955E-2</v>
      </c>
      <c r="BA21" s="4">
        <f t="shared" si="1"/>
        <v>-0.90630778703664994</v>
      </c>
      <c r="BC21" s="14">
        <f>BC11</f>
        <v>-2.0674655628074561</v>
      </c>
      <c r="BE21" s="20" cm="1">
        <f t="array" ref="BE21:BE24">MMULT(MINVERSE($AX$21:$BA$24),BC21:BC24)</f>
        <v>885.44825744323475</v>
      </c>
      <c r="BG21" s="14">
        <f>(us1c*my1_-un1c*ny1_)/SQRT(us1c^2+un1c^2)</f>
        <v>-0.99999920432699929</v>
      </c>
      <c r="BH21" s="14">
        <f>(us2c*my2_-un2c*ny2_)/SQRT(us2c^2+un2c^2)</f>
        <v>-0.99999920432699929</v>
      </c>
    </row>
    <row r="22" spans="1:62" ht="18" x14ac:dyDescent="0.35">
      <c r="A22" s="27" t="s">
        <v>32</v>
      </c>
      <c r="B22" s="37" t="s">
        <v>33</v>
      </c>
      <c r="C22" s="21" t="s">
        <v>34</v>
      </c>
      <c r="D22" s="27" t="s">
        <v>29</v>
      </c>
      <c r="E22" s="27" t="s">
        <v>39</v>
      </c>
      <c r="F22" s="27" t="s">
        <v>30</v>
      </c>
      <c r="G22" s="27" t="s">
        <v>35</v>
      </c>
      <c r="H22" s="27" t="s">
        <v>36</v>
      </c>
      <c r="I22" s="27" t="s">
        <v>37</v>
      </c>
      <c r="J22" s="27" t="s">
        <v>38</v>
      </c>
      <c r="K22" s="27" t="s">
        <v>40</v>
      </c>
      <c r="L22" s="27" t="s">
        <v>41</v>
      </c>
      <c r="M22" s="27" t="s">
        <v>42</v>
      </c>
      <c r="N22" s="27" t="s">
        <v>43</v>
      </c>
      <c r="O22" s="27" t="s">
        <v>44</v>
      </c>
      <c r="P22" s="27" t="s">
        <v>45</v>
      </c>
      <c r="Q22" s="27" t="s">
        <v>46</v>
      </c>
      <c r="R22" s="27" t="s">
        <v>49</v>
      </c>
      <c r="S22" s="27" t="s">
        <v>50</v>
      </c>
      <c r="T22" s="39" t="s">
        <v>55</v>
      </c>
      <c r="U22" s="39" t="s">
        <v>56</v>
      </c>
      <c r="V22" s="27" t="s">
        <v>40</v>
      </c>
      <c r="W22" s="27" t="s">
        <v>198</v>
      </c>
      <c r="X22" s="27" t="s">
        <v>58</v>
      </c>
      <c r="Z22" s="31" t="s">
        <v>59</v>
      </c>
      <c r="AA22" s="12" t="s">
        <v>60</v>
      </c>
      <c r="AB22" s="12" t="s">
        <v>61</v>
      </c>
      <c r="AC22" s="12" t="s">
        <v>62</v>
      </c>
      <c r="AD22" s="12" t="s">
        <v>63</v>
      </c>
      <c r="AE22" s="12" t="s">
        <v>65</v>
      </c>
      <c r="AF22" s="12" t="s">
        <v>64</v>
      </c>
      <c r="AG22" s="12" t="s">
        <v>66</v>
      </c>
      <c r="AH22" s="12" t="s">
        <v>41</v>
      </c>
      <c r="AI22" s="12" t="s">
        <v>42</v>
      </c>
      <c r="AJ22" s="12" t="s">
        <v>43</v>
      </c>
      <c r="AK22" s="12" t="s">
        <v>44</v>
      </c>
      <c r="AL22" s="12" t="s">
        <v>45</v>
      </c>
      <c r="AM22" s="12" t="s">
        <v>46</v>
      </c>
      <c r="AN22" s="12" t="s">
        <v>49</v>
      </c>
      <c r="AO22" s="12" t="s">
        <v>50</v>
      </c>
      <c r="AP22" s="11" t="s">
        <v>74</v>
      </c>
      <c r="AQ22" s="11" t="s">
        <v>75</v>
      </c>
      <c r="AR22" s="12" t="s">
        <v>66</v>
      </c>
      <c r="AS22" s="12" t="s">
        <v>202</v>
      </c>
      <c r="AT22" s="12" t="s">
        <v>76</v>
      </c>
      <c r="AX22" s="4">
        <f t="shared" si="1"/>
        <v>9.0630778703664996E-2</v>
      </c>
      <c r="AY22" s="4">
        <f t="shared" si="1"/>
        <v>0.42261826174069944</v>
      </c>
      <c r="AZ22" s="4">
        <f t="shared" si="1"/>
        <v>9.0630778703664996E-2</v>
      </c>
      <c r="BA22" s="4">
        <f t="shared" si="1"/>
        <v>0.4226182617406995</v>
      </c>
      <c r="BC22" s="14">
        <f>BC12+W</f>
        <v>509.18901422962148</v>
      </c>
      <c r="BE22" s="19">
        <v>411.53224238404539</v>
      </c>
    </row>
    <row r="23" spans="1:62" x14ac:dyDescent="0.25">
      <c r="A23" s="3" t="s">
        <v>5</v>
      </c>
      <c r="B23" t="s">
        <v>8</v>
      </c>
      <c r="C23" s="3" t="s">
        <v>8</v>
      </c>
      <c r="D23" t="s">
        <v>5</v>
      </c>
      <c r="E23" t="s">
        <v>8</v>
      </c>
      <c r="F23" t="s">
        <v>8</v>
      </c>
      <c r="G23" t="s">
        <v>8</v>
      </c>
      <c r="H23" t="s">
        <v>8</v>
      </c>
      <c r="I23" t="s">
        <v>5</v>
      </c>
      <c r="J23" t="s">
        <v>8</v>
      </c>
      <c r="K23" t="s">
        <v>8</v>
      </c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3" t="s">
        <v>10</v>
      </c>
      <c r="R23" s="3" t="s">
        <v>10</v>
      </c>
      <c r="S23" s="3" t="s">
        <v>10</v>
      </c>
      <c r="T23" s="3" t="s">
        <v>22</v>
      </c>
      <c r="U23" s="3" t="s">
        <v>22</v>
      </c>
      <c r="V23" t="s">
        <v>8</v>
      </c>
      <c r="W23" s="3" t="s">
        <v>22</v>
      </c>
      <c r="X23" s="3" t="s">
        <v>22</v>
      </c>
      <c r="Z23" t="s">
        <v>5</v>
      </c>
      <c r="AA23" t="s">
        <v>8</v>
      </c>
      <c r="AB23" t="s">
        <v>8</v>
      </c>
      <c r="AC23" t="s">
        <v>8</v>
      </c>
      <c r="AD23" t="s">
        <v>8</v>
      </c>
      <c r="AE23" t="s">
        <v>5</v>
      </c>
      <c r="AF23" t="s">
        <v>8</v>
      </c>
      <c r="AG23" t="s">
        <v>8</v>
      </c>
      <c r="AH23" s="3" t="s">
        <v>10</v>
      </c>
      <c r="AI23" s="3" t="s">
        <v>10</v>
      </c>
      <c r="AJ23" s="3" t="s">
        <v>10</v>
      </c>
      <c r="AK23" s="3" t="s">
        <v>10</v>
      </c>
      <c r="AL23" s="3" t="s">
        <v>10</v>
      </c>
      <c r="AM23" s="3" t="s">
        <v>10</v>
      </c>
      <c r="AN23" s="3" t="s">
        <v>10</v>
      </c>
      <c r="AO23" s="3" t="s">
        <v>10</v>
      </c>
      <c r="AP23" s="3" t="s">
        <v>22</v>
      </c>
      <c r="AQ23" s="3" t="s">
        <v>22</v>
      </c>
      <c r="AR23" t="s">
        <v>8</v>
      </c>
      <c r="AS23" s="3" t="s">
        <v>22</v>
      </c>
      <c r="AT23" s="3" t="s">
        <v>22</v>
      </c>
      <c r="AX23" s="4">
        <f t="shared" si="1"/>
        <v>0.42261826174069944</v>
      </c>
      <c r="AY23" s="4">
        <f t="shared" si="1"/>
        <v>-0.90630778703664994</v>
      </c>
      <c r="AZ23" s="4">
        <f t="shared" si="1"/>
        <v>0.4226182617406995</v>
      </c>
      <c r="BA23" s="4">
        <f t="shared" si="1"/>
        <v>-0.90630778703664994</v>
      </c>
      <c r="BC23" s="14">
        <f>BC13</f>
        <v>0</v>
      </c>
      <c r="BE23" s="19">
        <v>884.40715634563867</v>
      </c>
      <c r="BG23" t="s">
        <v>83</v>
      </c>
      <c r="BH23" s="16">
        <f>N01_-(un1c-us1c*TAN(i))</f>
        <v>5203.0392749650564</v>
      </c>
      <c r="BI23" t="s">
        <v>24</v>
      </c>
      <c r="BJ23">
        <f>S01_+Ks*us1c</f>
        <v>2706.8093443651619</v>
      </c>
    </row>
    <row r="24" spans="1:62" x14ac:dyDescent="0.25">
      <c r="A24">
        <v>0</v>
      </c>
      <c r="B24" s="14">
        <f t="shared" ref="B24:B55" si="2">R_*COS(A24)</f>
        <v>5</v>
      </c>
      <c r="C24" s="14">
        <f t="shared" ref="C24:C55" si="3">R_*SIN(A24)</f>
        <v>0</v>
      </c>
      <c r="D24" s="14">
        <f>θ1-θ0</f>
        <v>0.43633231299858238</v>
      </c>
      <c r="E24" s="14">
        <f t="shared" ref="E24:E55" si="4">R_*SIN(D24-θ1+θ0)/COS(α1-D24-θ0)</f>
        <v>0</v>
      </c>
      <c r="F24" s="14">
        <f t="shared" ref="F24:F55" si="5">R_*SIN(PI()/2-α1+θ1)/SIN(PI()/2+α1-D24-θ0)</f>
        <v>5</v>
      </c>
      <c r="G24" s="14">
        <f>F24*COS(D24)</f>
        <v>4.5315389351832494</v>
      </c>
      <c r="H24" s="14">
        <f>F24*SIN(D24)</f>
        <v>2.1130913087034973</v>
      </c>
      <c r="I24" s="14">
        <f>(D24+D25)/2</f>
        <v>0.43948360192579439</v>
      </c>
      <c r="J24" s="14">
        <f>R_*SIN(PI()/2-α1+θ1)/SIN(PI()/2+α1-I24)</f>
        <v>5.0000248266574836</v>
      </c>
      <c r="K24" s="14">
        <f>(E25-E24)</f>
        <v>3.1513306535534226E-2</v>
      </c>
      <c r="L24" s="14">
        <f>p/2*(1+k)*(1-(R_/J24)^2)-p/2*(1-k)*(1-4*(R_/J24)^2+3*(R_/J24)^4)*COS(2*I24)</f>
        <v>1.486168381182728E-5</v>
      </c>
      <c r="M24" s="14">
        <f>p/2*(1+k)*(1+(R_/J24)^2)+p/2*(1-k)*(1+3*(R_/J24)^4)*COS(2*I24)</f>
        <v>2.9931018175970641</v>
      </c>
      <c r="N24" s="14">
        <f>p/2*(1-k)*(1+2*(R_/J24)^2-3*(R_/J24)^4)*SIN(2*I24)</f>
        <v>1.0706213310002986E-5</v>
      </c>
      <c r="O24" s="14">
        <f>L24*COS(I24)^2+M24*SIN(I24)^2-N24*SIN(2*I24)</f>
        <v>0.54183494165987678</v>
      </c>
      <c r="P24" s="14">
        <f>L24*SIN(I24)^2+M24*COS(I24)^2+N24*SIN(2*I24)</f>
        <v>2.4512817376209988</v>
      </c>
      <c r="Q24" s="14">
        <f>0.5*(L24-M24)*SIN(2*I24)+N24*COS(2*I24)</f>
        <v>-1.1524520011165709</v>
      </c>
      <c r="R24" s="1">
        <f>nx1_*O24+ny1_*Q24</f>
        <v>4.0219654634194302E-3</v>
      </c>
      <c r="S24" s="1">
        <f t="shared" ref="S24:S55" si="6">nx1_*Q24+ny1_*P24</f>
        <v>-8.5197958078102598E-3</v>
      </c>
      <c r="T24" s="1">
        <f t="shared" ref="T24:T55" si="7">(R24*nx1_+S24*ny1_)*K24*1000</f>
        <v>1.4028880775751637E-3</v>
      </c>
      <c r="U24" s="1">
        <f t="shared" ref="U24:U55" si="8">(R24*mx1_+S24*my1_)*K24*1000</f>
        <v>0.2968967351723355</v>
      </c>
      <c r="V24" s="1">
        <f>IF(SQRT((W24-T24)^2+(U24-X24)^2)&gt;0.001,0,K24)</f>
        <v>0</v>
      </c>
      <c r="W24" s="1">
        <f t="shared" ref="W24:W55" si="9">IF(-T24&gt;=σt*K24,0,T24)</f>
        <v>1.4028880775751637E-3</v>
      </c>
      <c r="X24" s="1">
        <f t="shared" ref="X24:X55" si="10">IF(-T24&gt;=σt*K24,0,SIGN(U24)*IF(T24&lt;0,MIN(ABS(U24),c_*K24),MIN(ABS(U24),c_*K24+T24*TAN(φ))))</f>
        <v>8.0995780923093729E-4</v>
      </c>
      <c r="Z24" s="14">
        <f>PI()-θ2-θ0</f>
        <v>2.7052603405912108</v>
      </c>
      <c r="AA24" s="14">
        <f t="shared" ref="AA24:AA55" si="11">R_*SIN(PI()-Z24-θ2-θ0)/COS(α2-PI()+Z24+θ0)</f>
        <v>-2.7755575615628914E-16</v>
      </c>
      <c r="AB24" s="14">
        <f t="shared" ref="AB24:AB55" si="12">R_*SIN(PI()/2-α2+θ2)/SIN(PI()/2+α2-PI()+Z24+θ0)</f>
        <v>5</v>
      </c>
      <c r="AC24" s="14">
        <f>AB24*COS(Z24)</f>
        <v>-4.5315389351832494</v>
      </c>
      <c r="AD24" s="14">
        <f>AB24*SIN(Z24)</f>
        <v>2.1130913087034973</v>
      </c>
      <c r="AE24" s="14">
        <f>(Z24+Z25)/2</f>
        <v>2.7021090516639985</v>
      </c>
      <c r="AF24" s="14">
        <f t="shared" ref="AF24:AF55" si="13">R_*SIN(PI()/2-α2+θ2)/SIN(PI()/2+α2-PI()+AE24)</f>
        <v>5.0000248266574836</v>
      </c>
      <c r="AG24" s="14">
        <f>AA25-AA24</f>
        <v>3.1513306535535059E-2</v>
      </c>
      <c r="AH24" s="14">
        <f t="shared" ref="AH24:AH55" si="14">p/2*(1+k)*(1-(R_/AF24)^2)-p/2*(1-k)*(1-4*(R_/AF24)^2+3*(R_/AF24)^4)*COS(2*AE24)</f>
        <v>1.4861683811827277E-5</v>
      </c>
      <c r="AI24" s="14">
        <f t="shared" ref="AI24:AI55" si="15">p/2*(1+k)*(1+(R_/AF24)^2)+p/2*(1-k)*(1+3*(R_/AF24)^4)*COS(2*AE24)</f>
        <v>2.9931018175970632</v>
      </c>
      <c r="AJ24" s="14">
        <f t="shared" ref="AJ24:AJ55" si="16">p/2*(1-k)*(1+2*(R_/AF24)^2-3*(R_/AF24)^4)*SIN(2*AE24)</f>
        <v>-1.0706213310002991E-5</v>
      </c>
      <c r="AK24" s="14">
        <f>AH24*COS(AE24)^2+AI24*SIN(AE24)^2-AJ24*SIN(2*AE24)</f>
        <v>0.54183494165987733</v>
      </c>
      <c r="AL24" s="14">
        <f>AH24*SIN(AE24)^2+AI24*COS(AE24)^2+AJ24*SIN(2*AE24)</f>
        <v>2.4512817376209979</v>
      </c>
      <c r="AM24" s="14">
        <f>0.5*(AH24-AI24)*SIN(2*Z24)+AJ24*COS(2*Z24)</f>
        <v>1.1464119333533596</v>
      </c>
      <c r="AN24" s="1">
        <f t="shared" ref="AN24:AN55" si="17">nx2_*AK24+ny2_*AM24</f>
        <v>-6.5746084023042828E-3</v>
      </c>
      <c r="AO24" s="1">
        <f t="shared" ref="AO24:AO55" si="18">nx2_*AM24+ny2_*AL24</f>
        <v>-3.0456353597831942E-3</v>
      </c>
      <c r="AP24" s="1">
        <f t="shared" ref="AP24:AP55" si="19">(AN24*nx2_+AO24*ny2_)*AG24*1000</f>
        <v>0.14721370779105547</v>
      </c>
      <c r="AQ24" s="1">
        <f t="shared" ref="AQ24:AQ55" si="20">(AN24*mx2_+AO24*my2_)*AG24*1000</f>
        <v>0.17454693012912884</v>
      </c>
      <c r="AR24" s="1">
        <f>IF(SQRT((AS24-AP24)^2+(AQ24-AT24)^2)&gt;0.001,0,AG24)</f>
        <v>0</v>
      </c>
      <c r="AS24" s="1">
        <f t="shared" ref="AS24:AS55" si="21">IF(-AP24&gt;=σt*AG24,0,AP24)</f>
        <v>0.14721370779105547</v>
      </c>
      <c r="AT24" s="1">
        <f>IF(-AP24&gt;=σt*AG24,0,SIGN(AQ24)*IF(AP24&lt;0,MIN(ABS(AQ24),c_*AG24),MIN(ABS(AQ24),c_*AG24+AP24*TAN(φ))))</f>
        <v>8.4993873821568783E-2</v>
      </c>
      <c r="AX24" s="4">
        <f t="shared" si="1"/>
        <v>-0.90630778703664994</v>
      </c>
      <c r="AY24" s="4">
        <f t="shared" si="1"/>
        <v>-0.42261826174069944</v>
      </c>
      <c r="AZ24" s="4">
        <f t="shared" si="1"/>
        <v>0.90630778703664994</v>
      </c>
      <c r="BA24" s="4">
        <f t="shared" si="1"/>
        <v>0.4226182617406995</v>
      </c>
      <c r="BC24" s="14">
        <f>BC14</f>
        <v>0</v>
      </c>
      <c r="BE24" s="19">
        <v>413.76489089279028</v>
      </c>
      <c r="BG24" t="s">
        <v>84</v>
      </c>
      <c r="BH24" s="16">
        <f>N02_-(un2c-us2c*TAN(i))</f>
        <v>5204.5541467340918</v>
      </c>
      <c r="BI24" t="s">
        <v>89</v>
      </c>
      <c r="BJ24">
        <f>S02_+Ks*us2c</f>
        <v>2703.5606913727797</v>
      </c>
    </row>
    <row r="25" spans="1:62" x14ac:dyDescent="0.25">
      <c r="A25" s="14">
        <f>A24+2*PI()/180</f>
        <v>3.4906585039886591E-2</v>
      </c>
      <c r="B25" s="14">
        <f t="shared" si="2"/>
        <v>4.9969541350954785</v>
      </c>
      <c r="C25" s="14">
        <f t="shared" si="3"/>
        <v>0.17449748351250485</v>
      </c>
      <c r="D25" s="14">
        <f t="shared" ref="D25:D56" si="22">D24+(PI()/2-θ1)/180</f>
        <v>0.44263489085300634</v>
      </c>
      <c r="E25" s="14">
        <f t="shared" si="4"/>
        <v>3.1513306535534226E-2</v>
      </c>
      <c r="F25" s="14">
        <f t="shared" si="5"/>
        <v>5.0000993078626745</v>
      </c>
      <c r="G25" s="14">
        <f t="shared" ref="G25:G88" si="23">F25*COS(D25)</f>
        <v>4.5182208363534997</v>
      </c>
      <c r="H25" s="14">
        <f t="shared" ref="H25:H88" si="24">F25*SIN(D25)</f>
        <v>2.1416520638119243</v>
      </c>
      <c r="I25" s="14">
        <f t="shared" ref="I25:I88" si="25">(D25+D26)/2</f>
        <v>0.44578617978021828</v>
      </c>
      <c r="J25" s="14">
        <f t="shared" ref="J25:J55" si="26">R_*SIN(PI()/2-α1+θ1)/SIN(PI()/2+α1-I25)</f>
        <v>5.000223447313946</v>
      </c>
      <c r="K25" s="14">
        <f t="shared" ref="K25:K88" si="27">(E26-E25)</f>
        <v>3.1515810275148777E-2</v>
      </c>
      <c r="L25" s="14">
        <f t="shared" ref="L25:L55" si="28">p/2*(1+k)*(1-(R_/J25)^2)-p/2*(1-k)*(1-4*(R_/J25)^2+3*(R_/J25)^4)*COS(2*I25)</f>
        <v>1.3313650452442252E-4</v>
      </c>
      <c r="M25" s="14">
        <f t="shared" ref="M25:M55" si="29">p/2*(1+k)*(1+(R_/J25)^2)+p/2*(1-k)*(1+3*(R_/J25)^4)*COS(2*I25)</f>
        <v>2.9792534410788911</v>
      </c>
      <c r="N25" s="14">
        <f t="shared" ref="N25:N55" si="30">p/2*(1-k)*(1+2*(R_/J25)^2-3*(R_/J25)^4)*SIN(2*I25)</f>
        <v>9.7346038185030007E-5</v>
      </c>
      <c r="O25" s="14">
        <f t="shared" ref="O25:O88" si="31">L25*COS(I25)^2+M25*SIN(I25)^2-N25*SIN(2*I25)</f>
        <v>0.55389163024383792</v>
      </c>
      <c r="P25" s="14">
        <f t="shared" ref="P25:P88" si="32">L25*SIN(I25)^2+M25*COS(I25)^2+N25*SIN(2*I25)</f>
        <v>2.4254949473395775</v>
      </c>
      <c r="Q25" s="14">
        <f t="shared" ref="Q25:Q88" si="33">0.5*(L25-M25)*SIN(2*I25)+N25*COS(2*I25)</f>
        <v>-1.1589066884858004</v>
      </c>
      <c r="R25" s="1">
        <f t="shared" ref="R25:R55" si="34">nx1_*O25+ny1_*Q25</f>
        <v>1.2221167456875903E-2</v>
      </c>
      <c r="S25" s="1">
        <f t="shared" si="6"/>
        <v>-2.5267697718036386E-2</v>
      </c>
      <c r="T25" s="1">
        <f t="shared" si="7"/>
        <v>1.2529070824420206E-2</v>
      </c>
      <c r="U25" s="1">
        <f t="shared" si="8"/>
        <v>0.88449751063660476</v>
      </c>
      <c r="V25" s="1">
        <f t="shared" ref="V25:V88" si="35">IF(SQRT((W25-T25)^2+(U25-X25)^2)&gt;0.001,0,K25)</f>
        <v>0</v>
      </c>
      <c r="W25" s="1">
        <f t="shared" si="9"/>
        <v>1.2529070824420206E-2</v>
      </c>
      <c r="X25" s="1">
        <f t="shared" si="10"/>
        <v>7.2336624131748919E-3</v>
      </c>
      <c r="Z25" s="14">
        <f t="shared" ref="Z25:Z56" si="36">Z24-(PI()/2-θ2)/180</f>
        <v>2.6989577627367867</v>
      </c>
      <c r="AA25" s="14">
        <f t="shared" si="11"/>
        <v>3.1513306535534781E-2</v>
      </c>
      <c r="AB25" s="14">
        <f t="shared" si="12"/>
        <v>5.0000993078626745</v>
      </c>
      <c r="AC25" s="14">
        <f t="shared" ref="AC25:AC88" si="37">AB25*COS(Z25)</f>
        <v>-4.5182208363534997</v>
      </c>
      <c r="AD25" s="14">
        <f t="shared" ref="AD25:AD88" si="38">AB25*SIN(Z25)</f>
        <v>2.1416520638119256</v>
      </c>
      <c r="AE25" s="14">
        <f t="shared" ref="AE25:AE88" si="39">(Z25+Z26)/2</f>
        <v>2.6958064738095748</v>
      </c>
      <c r="AF25" s="14">
        <f t="shared" si="13"/>
        <v>5.000223447313946</v>
      </c>
      <c r="AG25" s="14">
        <f t="shared" ref="AG25:AG88" si="40">AA26-AA25</f>
        <v>3.151581027514961E-2</v>
      </c>
      <c r="AH25" s="14">
        <f t="shared" si="14"/>
        <v>1.3313650452442249E-4</v>
      </c>
      <c r="AI25" s="14">
        <f t="shared" si="15"/>
        <v>2.9792534410788907</v>
      </c>
      <c r="AJ25" s="14">
        <f t="shared" si="16"/>
        <v>-9.7346038185030034E-5</v>
      </c>
      <c r="AK25" s="14">
        <f t="shared" ref="AK25:AK88" si="41">AH25*COS(AE25)^2+AI25*SIN(AE25)^2-AJ25*SIN(2*AE25)</f>
        <v>0.55389163024383814</v>
      </c>
      <c r="AL25" s="14">
        <f t="shared" ref="AL25:AL88" si="42">AH25*SIN(AE25)^2+AI25*COS(AE25)^2+AJ25*SIN(2*AE25)</f>
        <v>2.4254949473395766</v>
      </c>
      <c r="AM25" s="14">
        <f t="shared" ref="AM25:AM88" si="43">0.5*(AH25-AI25)*SIN(2*Z25)+AJ25*COS(2*Z25)</f>
        <v>1.1529857474712892</v>
      </c>
      <c r="AN25" s="1">
        <f t="shared" si="17"/>
        <v>-1.4723465256297974E-2</v>
      </c>
      <c r="AO25" s="1">
        <f t="shared" si="18"/>
        <v>-1.9901502770000468E-2</v>
      </c>
      <c r="AP25" s="1">
        <f t="shared" si="19"/>
        <v>0.15547545636140916</v>
      </c>
      <c r="AQ25" s="1">
        <f t="shared" si="20"/>
        <v>0.76455125125442525</v>
      </c>
      <c r="AR25" s="1">
        <f t="shared" ref="AR25:AR88" si="44">IF(SQRT((AS25-AP25)^2+(AQ25-AT25)^2)&gt;0.001,0,AG25)</f>
        <v>0</v>
      </c>
      <c r="AS25" s="1">
        <f t="shared" si="21"/>
        <v>0.15547545636140916</v>
      </c>
      <c r="AT25" s="1">
        <f t="shared" ref="AT25:AT55" si="45">IF(-AP25&gt;=σt*AG25,0,SIGN(AQ25)*IF(AP25&lt;0,MIN(ABS(AQ25),c_*AG25),MIN(ABS(AQ25),c_*AG25+AP25*TAN(φ))))</f>
        <v>8.9763796582639485E-2</v>
      </c>
    </row>
    <row r="26" spans="1:62" x14ac:dyDescent="0.25">
      <c r="A26" s="14">
        <f t="shared" ref="A26:A89" si="46">A25+2*PI()/180</f>
        <v>6.9813170079773182E-2</v>
      </c>
      <c r="B26" s="14">
        <f t="shared" si="2"/>
        <v>4.9878202512991212</v>
      </c>
      <c r="C26" s="14">
        <f t="shared" si="3"/>
        <v>0.34878236872062651</v>
      </c>
      <c r="D26" s="14">
        <f t="shared" si="22"/>
        <v>0.44893746870743029</v>
      </c>
      <c r="E26" s="14">
        <f t="shared" si="4"/>
        <v>6.3029116810683003E-2</v>
      </c>
      <c r="F26" s="14">
        <f t="shared" si="5"/>
        <v>5.0003972511757437</v>
      </c>
      <c r="G26" s="14">
        <f t="shared" si="23"/>
        <v>4.5049016793976673</v>
      </c>
      <c r="H26" s="14">
        <f t="shared" si="24"/>
        <v>2.1702150880790616</v>
      </c>
      <c r="I26" s="14">
        <f t="shared" si="25"/>
        <v>0.45208875763464229</v>
      </c>
      <c r="J26" s="14">
        <f t="shared" si="26"/>
        <v>5.0006207280793458</v>
      </c>
      <c r="K26" s="14">
        <f t="shared" si="27"/>
        <v>3.152081855013196E-2</v>
      </c>
      <c r="L26" s="14">
        <f t="shared" si="28"/>
        <v>3.6806575687945591E-4</v>
      </c>
      <c r="M26" s="14">
        <f t="shared" si="29"/>
        <v>2.9650821082773184</v>
      </c>
      <c r="N26" s="14">
        <f t="shared" si="30"/>
        <v>2.7308904958853533E-4</v>
      </c>
      <c r="O26" s="14">
        <f t="shared" si="31"/>
        <v>0.56592139305305744</v>
      </c>
      <c r="P26" s="14">
        <f t="shared" si="32"/>
        <v>2.3995287809811403</v>
      </c>
      <c r="Q26" s="14">
        <f t="shared" si="33"/>
        <v>-1.164840504013742</v>
      </c>
      <c r="R26" s="1">
        <f t="shared" si="34"/>
        <v>2.0616096363166803E-2</v>
      </c>
      <c r="S26" s="1">
        <f t="shared" si="6"/>
        <v>-4.1619337028321546E-2</v>
      </c>
      <c r="T26" s="1">
        <f t="shared" si="7"/>
        <v>3.4529064685573069E-2</v>
      </c>
      <c r="U26" s="1">
        <f t="shared" si="8"/>
        <v>1.4635957043694914</v>
      </c>
      <c r="V26" s="1">
        <f t="shared" si="35"/>
        <v>0</v>
      </c>
      <c r="W26" s="1">
        <f t="shared" si="9"/>
        <v>3.4529064685573069E-2</v>
      </c>
      <c r="X26" s="1">
        <f t="shared" si="10"/>
        <v>1.993536479108161E-2</v>
      </c>
      <c r="Z26" s="14">
        <f t="shared" si="36"/>
        <v>2.6926551848823626</v>
      </c>
      <c r="AA26" s="14">
        <f t="shared" si="11"/>
        <v>6.3029116810684391E-2</v>
      </c>
      <c r="AB26" s="14">
        <f t="shared" si="12"/>
        <v>5.0003972511757437</v>
      </c>
      <c r="AC26" s="14">
        <f t="shared" si="37"/>
        <v>-4.5049016793976664</v>
      </c>
      <c r="AD26" s="14">
        <f t="shared" si="38"/>
        <v>2.1702150880790638</v>
      </c>
      <c r="AE26" s="14">
        <f t="shared" si="39"/>
        <v>2.6895038959551503</v>
      </c>
      <c r="AF26" s="14">
        <f t="shared" si="13"/>
        <v>5.0006207280793458</v>
      </c>
      <c r="AG26" s="14">
        <f t="shared" si="40"/>
        <v>3.1520818550132793E-2</v>
      </c>
      <c r="AH26" s="14">
        <f t="shared" si="14"/>
        <v>3.680657568794557E-4</v>
      </c>
      <c r="AI26" s="14">
        <f t="shared" si="15"/>
        <v>2.9650821082773167</v>
      </c>
      <c r="AJ26" s="14">
        <f t="shared" si="16"/>
        <v>-2.730890495885356E-4</v>
      </c>
      <c r="AK26" s="14">
        <f t="shared" si="41"/>
        <v>0.56592139305305866</v>
      </c>
      <c r="AL26" s="14">
        <f t="shared" si="42"/>
        <v>2.3995287809811376</v>
      </c>
      <c r="AM26" s="14">
        <f t="shared" si="43"/>
        <v>1.1590391805048277</v>
      </c>
      <c r="AN26" s="1">
        <f t="shared" si="17"/>
        <v>-2.3067841620300678E-2</v>
      </c>
      <c r="AO26" s="1">
        <f t="shared" si="18"/>
        <v>-3.6361552357074611E-2</v>
      </c>
      <c r="AP26" s="1">
        <f t="shared" si="19"/>
        <v>0.1746098403710433</v>
      </c>
      <c r="AQ26" s="1">
        <f t="shared" si="20"/>
        <v>1.3460539771568802</v>
      </c>
      <c r="AR26" s="1">
        <f t="shared" si="44"/>
        <v>0</v>
      </c>
      <c r="AS26" s="1">
        <f t="shared" si="21"/>
        <v>0.1746098403710433</v>
      </c>
      <c r="AT26" s="1">
        <f t="shared" si="45"/>
        <v>0.10081103834137943</v>
      </c>
      <c r="BJ26">
        <f>BJ23*my1_+BJ24*my2_+BH23*ny1_+BH24*ny2_+W</f>
        <v>0</v>
      </c>
    </row>
    <row r="27" spans="1:62" x14ac:dyDescent="0.25">
      <c r="A27" s="14">
        <f t="shared" si="46"/>
        <v>0.10471975511965978</v>
      </c>
      <c r="B27" s="14">
        <f t="shared" si="2"/>
        <v>4.9726094768413667</v>
      </c>
      <c r="C27" s="14">
        <f t="shared" si="3"/>
        <v>0.52264231633826741</v>
      </c>
      <c r="D27" s="14">
        <f t="shared" si="22"/>
        <v>0.45524004656185424</v>
      </c>
      <c r="E27" s="14">
        <f t="shared" si="4"/>
        <v>9.4549935360814963E-2</v>
      </c>
      <c r="F27" s="14">
        <f t="shared" si="5"/>
        <v>5.0008938891238968</v>
      </c>
      <c r="G27" s="14">
        <f t="shared" si="23"/>
        <v>4.4915804058533668</v>
      </c>
      <c r="H27" s="14">
        <f t="shared" si="24"/>
        <v>2.1987826513848154</v>
      </c>
      <c r="I27" s="14">
        <f t="shared" si="25"/>
        <v>0.45839133548906619</v>
      </c>
      <c r="J27" s="14">
        <f t="shared" si="26"/>
        <v>5.0012167478777609</v>
      </c>
      <c r="K27" s="14">
        <f t="shared" si="27"/>
        <v>3.1528332952529242E-2</v>
      </c>
      <c r="L27" s="14">
        <f t="shared" si="28"/>
        <v>7.1788829741546429E-4</v>
      </c>
      <c r="M27" s="14">
        <f t="shared" si="29"/>
        <v>2.9505951484548647</v>
      </c>
      <c r="N27" s="14">
        <f t="shared" si="30"/>
        <v>5.4038060775886475E-4</v>
      </c>
      <c r="O27" s="14">
        <f t="shared" si="31"/>
        <v>0.57790930704451948</v>
      </c>
      <c r="P27" s="14">
        <f t="shared" si="32"/>
        <v>2.3734037297077606</v>
      </c>
      <c r="Q27" s="14">
        <f t="shared" si="33"/>
        <v>-1.1702539036704831</v>
      </c>
      <c r="R27" s="1">
        <f t="shared" si="34"/>
        <v>2.919303461091477E-2</v>
      </c>
      <c r="S27" s="1">
        <f t="shared" si="6"/>
        <v>-5.7566467048609793E-2</v>
      </c>
      <c r="T27" s="1">
        <f t="shared" si="7"/>
        <v>6.7131209724617155E-2</v>
      </c>
      <c r="U27" s="1">
        <f t="shared" si="8"/>
        <v>2.0339068487968297</v>
      </c>
      <c r="V27" s="1">
        <f t="shared" si="35"/>
        <v>0</v>
      </c>
      <c r="W27" s="1">
        <f t="shared" si="9"/>
        <v>6.7131209724617155E-2</v>
      </c>
      <c r="X27" s="1">
        <f t="shared" si="10"/>
        <v>3.8758222005532937E-2</v>
      </c>
      <c r="Z27" s="14">
        <f t="shared" si="36"/>
        <v>2.6863526070279384</v>
      </c>
      <c r="AA27" s="14">
        <f t="shared" si="11"/>
        <v>9.4549935360817183E-2</v>
      </c>
      <c r="AB27" s="14">
        <f t="shared" si="12"/>
        <v>5.0008938891238968</v>
      </c>
      <c r="AC27" s="14">
        <f t="shared" si="37"/>
        <v>-4.491580405853365</v>
      </c>
      <c r="AD27" s="14">
        <f t="shared" si="38"/>
        <v>2.1987826513848181</v>
      </c>
      <c r="AE27" s="14">
        <f t="shared" si="39"/>
        <v>2.6832013181007266</v>
      </c>
      <c r="AF27" s="14">
        <f t="shared" si="13"/>
        <v>5.0012167478777609</v>
      </c>
      <c r="AG27" s="14">
        <f t="shared" si="40"/>
        <v>3.1528332952530075E-2</v>
      </c>
      <c r="AH27" s="14">
        <f t="shared" si="14"/>
        <v>7.1788829741546397E-4</v>
      </c>
      <c r="AI27" s="14">
        <f t="shared" si="15"/>
        <v>2.9505951484548638</v>
      </c>
      <c r="AJ27" s="14">
        <f t="shared" si="16"/>
        <v>-5.4038060775886507E-4</v>
      </c>
      <c r="AK27" s="14">
        <f t="shared" si="41"/>
        <v>0.57790930704452037</v>
      </c>
      <c r="AL27" s="14">
        <f t="shared" si="42"/>
        <v>2.3734037297077588</v>
      </c>
      <c r="AM27" s="14">
        <f t="shared" si="43"/>
        <v>1.1645725768153545</v>
      </c>
      <c r="AN27" s="1">
        <f t="shared" si="17"/>
        <v>-3.1594067090810807E-2</v>
      </c>
      <c r="AO27" s="1">
        <f t="shared" si="18"/>
        <v>-5.2417436279106777E-2</v>
      </c>
      <c r="AP27" s="1">
        <f t="shared" si="19"/>
        <v>0.20434720825967376</v>
      </c>
      <c r="AQ27" s="1">
        <f t="shared" si="20"/>
        <v>1.9187689550345359</v>
      </c>
      <c r="AR27" s="1">
        <f t="shared" si="44"/>
        <v>0</v>
      </c>
      <c r="AS27" s="1">
        <f t="shared" si="21"/>
        <v>0.20434720825967376</v>
      </c>
      <c r="AT27" s="1">
        <f t="shared" si="45"/>
        <v>0.11797991569687115</v>
      </c>
    </row>
    <row r="28" spans="1:62" x14ac:dyDescent="0.25">
      <c r="A28" s="14">
        <f t="shared" si="46"/>
        <v>0.13962634015954636</v>
      </c>
      <c r="B28" s="14">
        <f t="shared" si="2"/>
        <v>4.9513403437078516</v>
      </c>
      <c r="C28" s="14">
        <f t="shared" si="3"/>
        <v>0.69586550480032716</v>
      </c>
      <c r="D28" s="14">
        <f t="shared" si="22"/>
        <v>0.46154262441627819</v>
      </c>
      <c r="E28" s="14">
        <f t="shared" si="4"/>
        <v>0.12607826831334421</v>
      </c>
      <c r="F28" s="14">
        <f t="shared" si="5"/>
        <v>5.0015893203801625</v>
      </c>
      <c r="G28" s="14">
        <f t="shared" si="23"/>
        <v>4.4782559565853877</v>
      </c>
      <c r="H28" s="14">
        <f t="shared" si="24"/>
        <v>2.2273570250519774</v>
      </c>
      <c r="I28" s="14">
        <f t="shared" si="25"/>
        <v>0.46469391334349019</v>
      </c>
      <c r="J28" s="14">
        <f t="shared" si="26"/>
        <v>5.0020116251431315</v>
      </c>
      <c r="K28" s="14">
        <f t="shared" si="27"/>
        <v>3.1538355871753326E-2</v>
      </c>
      <c r="L28" s="14">
        <f t="shared" si="28"/>
        <v>1.1807727610231241E-3</v>
      </c>
      <c r="M28" s="14">
        <f t="shared" si="29"/>
        <v>2.9358000558879467</v>
      </c>
      <c r="N28" s="14">
        <f t="shared" si="30"/>
        <v>9.0153200527866729E-4</v>
      </c>
      <c r="O28" s="14">
        <f t="shared" si="31"/>
        <v>0.58984060316605713</v>
      </c>
      <c r="P28" s="14">
        <f t="shared" si="32"/>
        <v>2.3471402254829128</v>
      </c>
      <c r="Q28" s="14">
        <f t="shared" si="33"/>
        <v>-1.1751480359241171</v>
      </c>
      <c r="R28" s="1">
        <f t="shared" si="34"/>
        <v>3.7938111529544682E-2</v>
      </c>
      <c r="S28" s="1">
        <f t="shared" si="6"/>
        <v>-7.3101493723590316E-2</v>
      </c>
      <c r="T28" s="1">
        <f t="shared" si="7"/>
        <v>0.11005560631354931</v>
      </c>
      <c r="U28" s="1">
        <f t="shared" si="8"/>
        <v>2.5951585835279514</v>
      </c>
      <c r="V28" s="1">
        <f t="shared" si="35"/>
        <v>0</v>
      </c>
      <c r="W28" s="1">
        <f t="shared" si="9"/>
        <v>0.11005560631354931</v>
      </c>
      <c r="X28" s="1">
        <f t="shared" si="10"/>
        <v>6.3540633930955173E-2</v>
      </c>
      <c r="Z28" s="14">
        <f t="shared" si="36"/>
        <v>2.6800500291735143</v>
      </c>
      <c r="AA28" s="14">
        <f t="shared" si="11"/>
        <v>0.12607826831334726</v>
      </c>
      <c r="AB28" s="14">
        <f t="shared" si="12"/>
        <v>5.0015893203801625</v>
      </c>
      <c r="AC28" s="14">
        <f t="shared" si="37"/>
        <v>-4.4782559565853859</v>
      </c>
      <c r="AD28" s="14">
        <f t="shared" si="38"/>
        <v>2.2273570250519805</v>
      </c>
      <c r="AE28" s="14">
        <f t="shared" si="39"/>
        <v>2.676898740246302</v>
      </c>
      <c r="AF28" s="14">
        <f t="shared" si="13"/>
        <v>5.0020116251431315</v>
      </c>
      <c r="AG28" s="14">
        <f t="shared" si="40"/>
        <v>3.1538355871754159E-2</v>
      </c>
      <c r="AH28" s="14">
        <f t="shared" si="14"/>
        <v>1.1807727610231233E-3</v>
      </c>
      <c r="AI28" s="14">
        <f t="shared" si="15"/>
        <v>2.9358000558879445</v>
      </c>
      <c r="AJ28" s="14">
        <f t="shared" si="16"/>
        <v>-9.0153200527866859E-4</v>
      </c>
      <c r="AK28" s="14">
        <f t="shared" si="41"/>
        <v>0.58984060316605891</v>
      </c>
      <c r="AL28" s="14">
        <f t="shared" si="42"/>
        <v>2.3471402254829088</v>
      </c>
      <c r="AM28" s="14">
        <f t="shared" si="43"/>
        <v>1.1695869739203142</v>
      </c>
      <c r="AN28" s="1">
        <f t="shared" si="17"/>
        <v>-4.0288317887025693E-2</v>
      </c>
      <c r="AO28" s="1">
        <f t="shared" si="18"/>
        <v>-6.8061459925351508E-2</v>
      </c>
      <c r="AP28" s="1">
        <f t="shared" si="19"/>
        <v>0.24440965346351995</v>
      </c>
      <c r="AQ28" s="1">
        <f t="shared" si="20"/>
        <v>2.4824221521173899</v>
      </c>
      <c r="AR28" s="1">
        <f t="shared" si="44"/>
        <v>0</v>
      </c>
      <c r="AS28" s="1">
        <f t="shared" si="21"/>
        <v>0.24440965346351995</v>
      </c>
      <c r="AT28" s="1">
        <f t="shared" si="45"/>
        <v>0.14110997921970639</v>
      </c>
    </row>
    <row r="29" spans="1:62" x14ac:dyDescent="0.25">
      <c r="A29" s="14">
        <f t="shared" si="46"/>
        <v>0.17453292519943295</v>
      </c>
      <c r="B29" s="14">
        <f t="shared" si="2"/>
        <v>4.9240387650610398</v>
      </c>
      <c r="C29" s="14">
        <f t="shared" si="3"/>
        <v>0.86824088833465163</v>
      </c>
      <c r="D29" s="14">
        <f t="shared" si="22"/>
        <v>0.46784520227070214</v>
      </c>
      <c r="E29" s="14">
        <f t="shared" si="4"/>
        <v>0.15761662418509753</v>
      </c>
      <c r="F29" s="14">
        <f t="shared" si="5"/>
        <v>5.0024836831537494</v>
      </c>
      <c r="G29" s="14">
        <f t="shared" si="23"/>
        <v>4.4649272714487065</v>
      </c>
      <c r="H29" s="14">
        <f t="shared" si="24"/>
        <v>2.2559404825688798</v>
      </c>
      <c r="I29" s="14">
        <f t="shared" si="25"/>
        <v>0.47099649119791409</v>
      </c>
      <c r="J29" s="14">
        <f t="shared" si="26"/>
        <v>5.003005517876697</v>
      </c>
      <c r="K29" s="14">
        <f t="shared" si="27"/>
        <v>3.1550890496199191E-2</v>
      </c>
      <c r="L29" s="14">
        <f t="shared" si="28"/>
        <v>1.7548210694934992E-3</v>
      </c>
      <c r="M29" s="14">
        <f t="shared" si="29"/>
        <v>2.9207044832871625</v>
      </c>
      <c r="N29" s="14">
        <f t="shared" si="30"/>
        <v>1.3587172212799316E-3</v>
      </c>
      <c r="O29" s="14">
        <f t="shared" si="31"/>
        <v>0.60170069431814754</v>
      </c>
      <c r="P29" s="14">
        <f t="shared" si="32"/>
        <v>2.3207586100385083</v>
      </c>
      <c r="Q29" s="14">
        <f t="shared" si="33"/>
        <v>-1.1795247345233761</v>
      </c>
      <c r="R29" s="1">
        <f t="shared" si="34"/>
        <v>4.683733174146687E-2</v>
      </c>
      <c r="S29" s="1">
        <f t="shared" si="6"/>
        <v>-8.8217482206636944E-2</v>
      </c>
      <c r="T29" s="1">
        <f t="shared" si="7"/>
        <v>0.1630146010428826</v>
      </c>
      <c r="U29" s="1">
        <f t="shared" si="8"/>
        <v>3.1470909872782089</v>
      </c>
      <c r="V29" s="1">
        <f t="shared" si="35"/>
        <v>0</v>
      </c>
      <c r="W29" s="1">
        <f t="shared" si="9"/>
        <v>0.1630146010428826</v>
      </c>
      <c r="X29" s="1">
        <f t="shared" si="10"/>
        <v>9.4116523793947707E-2</v>
      </c>
      <c r="Z29" s="14">
        <f t="shared" si="36"/>
        <v>2.6737474513190902</v>
      </c>
      <c r="AA29" s="14">
        <f t="shared" si="11"/>
        <v>0.15761662418510142</v>
      </c>
      <c r="AB29" s="14">
        <f t="shared" si="12"/>
        <v>5.0024836831537494</v>
      </c>
      <c r="AC29" s="14">
        <f t="shared" si="37"/>
        <v>-4.4649272714487047</v>
      </c>
      <c r="AD29" s="14">
        <f t="shared" si="38"/>
        <v>2.2559404825688842</v>
      </c>
      <c r="AE29" s="14">
        <f t="shared" si="39"/>
        <v>2.6705961623918784</v>
      </c>
      <c r="AF29" s="14">
        <f t="shared" si="13"/>
        <v>5.0030055178766979</v>
      </c>
      <c r="AG29" s="14">
        <f t="shared" si="40"/>
        <v>3.1550890496200024E-2</v>
      </c>
      <c r="AH29" s="14">
        <f t="shared" si="14"/>
        <v>1.7548210694941471E-3</v>
      </c>
      <c r="AI29" s="14">
        <f t="shared" si="15"/>
        <v>2.9207044832871594</v>
      </c>
      <c r="AJ29" s="14">
        <f t="shared" si="16"/>
        <v>-1.358717221280436E-3</v>
      </c>
      <c r="AK29" s="14">
        <f t="shared" si="41"/>
        <v>0.6017006943181491</v>
      </c>
      <c r="AL29" s="14">
        <f t="shared" si="42"/>
        <v>2.3207586100385047</v>
      </c>
      <c r="AM29" s="14">
        <f t="shared" si="43"/>
        <v>1.1740840954619085</v>
      </c>
      <c r="AN29" s="1">
        <f t="shared" si="17"/>
        <v>-4.9136645164384263E-2</v>
      </c>
      <c r="AO29" s="1">
        <f t="shared" si="18"/>
        <v>-8.3286588658774474E-2</v>
      </c>
      <c r="AP29" s="1">
        <f t="shared" si="19"/>
        <v>0.29451149757511341</v>
      </c>
      <c r="AQ29" s="1">
        <f t="shared" si="20"/>
        <v>3.0367519898972204</v>
      </c>
      <c r="AR29" s="1">
        <f t="shared" si="44"/>
        <v>0</v>
      </c>
      <c r="AS29" s="1">
        <f t="shared" si="21"/>
        <v>0.29451149757511341</v>
      </c>
      <c r="AT29" s="1">
        <f t="shared" si="45"/>
        <v>0.17003629240443152</v>
      </c>
    </row>
    <row r="30" spans="1:62" x14ac:dyDescent="0.25">
      <c r="A30" s="14">
        <f t="shared" si="46"/>
        <v>0.20943951023931953</v>
      </c>
      <c r="B30" s="14">
        <f t="shared" si="2"/>
        <v>4.8907380036690284</v>
      </c>
      <c r="C30" s="14">
        <f t="shared" si="3"/>
        <v>1.0395584540887965</v>
      </c>
      <c r="D30" s="14">
        <f t="shared" si="22"/>
        <v>0.47414778012512609</v>
      </c>
      <c r="E30" s="14">
        <f t="shared" si="4"/>
        <v>0.18916751468129672</v>
      </c>
      <c r="F30" s="14">
        <f t="shared" si="5"/>
        <v>5.0035771552570969</v>
      </c>
      <c r="G30" s="14">
        <f t="shared" si="23"/>
        <v>4.4515932889508329</v>
      </c>
      <c r="H30" s="14">
        <f t="shared" si="24"/>
        <v>2.284535300313526</v>
      </c>
      <c r="I30" s="14">
        <f t="shared" si="25"/>
        <v>0.4772990690523381</v>
      </c>
      <c r="J30" s="14">
        <f t="shared" si="26"/>
        <v>5.0041986237236653</v>
      </c>
      <c r="K30" s="14">
        <f t="shared" si="27"/>
        <v>3.1565940815399735E-2</v>
      </c>
      <c r="L30" s="14">
        <f t="shared" si="28"/>
        <v>2.4380720324276811E-3</v>
      </c>
      <c r="M30" s="14">
        <f t="shared" si="29"/>
        <v>2.9053162350720485</v>
      </c>
      <c r="N30" s="14">
        <f t="shared" si="30"/>
        <v>1.9139698552185544E-3</v>
      </c>
      <c r="O30" s="14">
        <f t="shared" si="31"/>
        <v>0.61347520287823165</v>
      </c>
      <c r="P30" s="14">
        <f t="shared" si="32"/>
        <v>2.2942791042262445</v>
      </c>
      <c r="Q30" s="14">
        <f t="shared" si="33"/>
        <v>-1.1833865099564902</v>
      </c>
      <c r="R30" s="1">
        <f t="shared" si="34"/>
        <v>5.5876603717225137E-2</v>
      </c>
      <c r="S30" s="1">
        <f t="shared" si="6"/>
        <v>-0.10290816207158671</v>
      </c>
      <c r="T30" s="1">
        <f t="shared" si="7"/>
        <v>0.22571328532925855</v>
      </c>
      <c r="U30" s="1">
        <f t="shared" si="8"/>
        <v>3.6894568903617784</v>
      </c>
      <c r="V30" s="1">
        <f t="shared" si="35"/>
        <v>0</v>
      </c>
      <c r="W30" s="1">
        <f t="shared" si="9"/>
        <v>0.22571328532925855</v>
      </c>
      <c r="X30" s="1">
        <f t="shared" si="10"/>
        <v>0.13031562604452224</v>
      </c>
      <c r="Z30" s="14">
        <f t="shared" si="36"/>
        <v>2.6674448734646661</v>
      </c>
      <c r="AA30" s="14">
        <f t="shared" si="11"/>
        <v>0.18916751468130144</v>
      </c>
      <c r="AB30" s="14">
        <f t="shared" si="12"/>
        <v>5.0035771552570969</v>
      </c>
      <c r="AC30" s="14">
        <f t="shared" si="37"/>
        <v>-4.4515932889508294</v>
      </c>
      <c r="AD30" s="14">
        <f t="shared" si="38"/>
        <v>2.2845353003135309</v>
      </c>
      <c r="AE30" s="14">
        <f t="shared" si="39"/>
        <v>2.6642935845374538</v>
      </c>
      <c r="AF30" s="14">
        <f t="shared" si="13"/>
        <v>5.0041986237236653</v>
      </c>
      <c r="AG30" s="14">
        <f t="shared" si="40"/>
        <v>3.1565940815400595E-2</v>
      </c>
      <c r="AH30" s="14">
        <f t="shared" si="14"/>
        <v>2.4380720324276785E-3</v>
      </c>
      <c r="AI30" s="14">
        <f t="shared" si="15"/>
        <v>2.9053162350720454</v>
      </c>
      <c r="AJ30" s="14">
        <f t="shared" si="16"/>
        <v>-1.9139698552185578E-3</v>
      </c>
      <c r="AK30" s="14">
        <f t="shared" si="41"/>
        <v>0.61347520287823409</v>
      </c>
      <c r="AL30" s="14">
        <f t="shared" si="42"/>
        <v>2.2942791042262392</v>
      </c>
      <c r="AM30" s="14">
        <f t="shared" si="43"/>
        <v>1.1780663428494409</v>
      </c>
      <c r="AN30" s="1">
        <f t="shared" si="17"/>
        <v>-5.8125003492178529E-2</v>
      </c>
      <c r="AO30" s="1">
        <f t="shared" si="18"/>
        <v>-9.8086453194133671E-2</v>
      </c>
      <c r="AP30" s="1">
        <f t="shared" si="19"/>
        <v>0.35435978623482162</v>
      </c>
      <c r="AQ30" s="1">
        <f t="shared" si="20"/>
        <v>3.5815096588998943</v>
      </c>
      <c r="AR30" s="1">
        <f t="shared" si="44"/>
        <v>0</v>
      </c>
      <c r="AS30" s="1">
        <f t="shared" si="21"/>
        <v>0.35435978623482162</v>
      </c>
      <c r="AT30" s="1">
        <f t="shared" si="45"/>
        <v>0.20458971797265249</v>
      </c>
    </row>
    <row r="31" spans="1:62" x14ac:dyDescent="0.25">
      <c r="A31" s="14">
        <f t="shared" si="46"/>
        <v>0.24434609527920612</v>
      </c>
      <c r="B31" s="14">
        <f t="shared" si="2"/>
        <v>4.8514786313799823</v>
      </c>
      <c r="C31" s="14">
        <f t="shared" si="3"/>
        <v>1.2096094779983386</v>
      </c>
      <c r="D31" s="14">
        <f t="shared" si="22"/>
        <v>0.48045035797955005</v>
      </c>
      <c r="E31" s="14">
        <f t="shared" si="4"/>
        <v>0.22073345549669646</v>
      </c>
      <c r="F31" s="14">
        <f t="shared" si="5"/>
        <v>5.0048699541921682</v>
      </c>
      <c r="G31" s="14">
        <f t="shared" si="23"/>
        <v>4.4382529459132183</v>
      </c>
      <c r="H31" s="14">
        <f t="shared" si="24"/>
        <v>2.3131437582796615</v>
      </c>
      <c r="I31" s="14">
        <f t="shared" si="25"/>
        <v>0.48360164690676199</v>
      </c>
      <c r="J31" s="14">
        <f t="shared" si="26"/>
        <v>5.0055911800691693</v>
      </c>
      <c r="K31" s="14">
        <f t="shared" si="27"/>
        <v>3.1583511622726795E-2</v>
      </c>
      <c r="L31" s="14">
        <f t="shared" si="28"/>
        <v>3.2285050347745205E-3</v>
      </c>
      <c r="M31" s="14">
        <f t="shared" si="29"/>
        <v>2.889643260507949</v>
      </c>
      <c r="N31" s="14">
        <f t="shared" si="30"/>
        <v>2.5691802442990245E-3</v>
      </c>
      <c r="O31" s="14">
        <f t="shared" si="31"/>
        <v>0.62514998772710295</v>
      </c>
      <c r="P31" s="14">
        <f t="shared" si="32"/>
        <v>2.2677217778156207</v>
      </c>
      <c r="Q31" s="14">
        <f t="shared" si="33"/>
        <v>-1.1867365396084315</v>
      </c>
      <c r="R31" s="1">
        <f t="shared" si="34"/>
        <v>6.504176842945153E-2</v>
      </c>
      <c r="S31" s="1">
        <f t="shared" si="6"/>
        <v>-0.11716793115608293</v>
      </c>
      <c r="T31" s="1">
        <f t="shared" si="7"/>
        <v>0.29785000597138733</v>
      </c>
      <c r="U31" s="1">
        <f t="shared" si="8"/>
        <v>4.2220221672964016</v>
      </c>
      <c r="V31" s="1">
        <f t="shared" si="35"/>
        <v>0</v>
      </c>
      <c r="W31" s="1">
        <f t="shared" si="9"/>
        <v>0.29785000597138733</v>
      </c>
      <c r="X31" s="1">
        <f t="shared" si="10"/>
        <v>0.17196378112571212</v>
      </c>
      <c r="Z31" s="14">
        <f t="shared" si="36"/>
        <v>2.661142295610242</v>
      </c>
      <c r="AA31" s="14">
        <f t="shared" si="11"/>
        <v>0.22073345549670204</v>
      </c>
      <c r="AB31" s="14">
        <f t="shared" si="12"/>
        <v>5.0048699541921682</v>
      </c>
      <c r="AC31" s="14">
        <f t="shared" si="37"/>
        <v>-4.4382529459132156</v>
      </c>
      <c r="AD31" s="14">
        <f t="shared" si="38"/>
        <v>2.3131437582796663</v>
      </c>
      <c r="AE31" s="14">
        <f t="shared" si="39"/>
        <v>2.6579910066830301</v>
      </c>
      <c r="AF31" s="14">
        <f t="shared" si="13"/>
        <v>5.0055911800691693</v>
      </c>
      <c r="AG31" s="14">
        <f t="shared" si="40"/>
        <v>3.1583511622727656E-2</v>
      </c>
      <c r="AH31" s="14">
        <f t="shared" si="14"/>
        <v>3.2285050347745179E-3</v>
      </c>
      <c r="AI31" s="14">
        <f t="shared" si="15"/>
        <v>2.8896432605079463</v>
      </c>
      <c r="AJ31" s="14">
        <f t="shared" si="16"/>
        <v>-2.5691802442990284E-3</v>
      </c>
      <c r="AK31" s="14">
        <f t="shared" si="41"/>
        <v>0.62514998772710484</v>
      </c>
      <c r="AL31" s="14">
        <f t="shared" si="42"/>
        <v>2.2677217778156153</v>
      </c>
      <c r="AM31" s="14">
        <f t="shared" si="43"/>
        <v>1.1815367855970946</v>
      </c>
      <c r="AN31" s="1">
        <f t="shared" si="17"/>
        <v>-6.7239279431203558E-2</v>
      </c>
      <c r="AO31" s="1">
        <f t="shared" si="18"/>
        <v>-0.11245535360493542</v>
      </c>
      <c r="AP31" s="1">
        <f t="shared" si="19"/>
        <v>0.42365479700822817</v>
      </c>
      <c r="AQ31" s="1">
        <f t="shared" si="20"/>
        <v>4.1164594135372736</v>
      </c>
      <c r="AR31" s="1">
        <f t="shared" si="44"/>
        <v>0</v>
      </c>
      <c r="AS31" s="1">
        <f t="shared" si="21"/>
        <v>0.42365479700822817</v>
      </c>
      <c r="AT31" s="1">
        <f t="shared" si="45"/>
        <v>0.24459721109617677</v>
      </c>
    </row>
    <row r="32" spans="1:62" x14ac:dyDescent="0.25">
      <c r="A32" s="14">
        <f t="shared" si="46"/>
        <v>0.27925268031909273</v>
      </c>
      <c r="B32" s="14">
        <f t="shared" si="2"/>
        <v>4.8063084796915945</v>
      </c>
      <c r="C32" s="14">
        <f t="shared" si="3"/>
        <v>1.3781867790849958</v>
      </c>
      <c r="D32" s="14">
        <f t="shared" si="22"/>
        <v>0.486752935833974</v>
      </c>
      <c r="E32" s="14">
        <f t="shared" si="4"/>
        <v>0.25231696711942325</v>
      </c>
      <c r="F32" s="14">
        <f t="shared" si="5"/>
        <v>5.0063623372560979</v>
      </c>
      <c r="G32" s="14">
        <f t="shared" si="23"/>
        <v>4.4249051771315537</v>
      </c>
      <c r="H32" s="14">
        <f t="shared" si="24"/>
        <v>2.3417681408053008</v>
      </c>
      <c r="I32" s="14">
        <f t="shared" si="25"/>
        <v>0.489904224761186</v>
      </c>
      <c r="J32" s="14">
        <f t="shared" si="26"/>
        <v>5.007183464153611</v>
      </c>
      <c r="K32" s="14">
        <f t="shared" si="27"/>
        <v>3.160360851863675E-2</v>
      </c>
      <c r="L32" s="14">
        <f t="shared" si="28"/>
        <v>4.1240438051480185E-3</v>
      </c>
      <c r="M32" s="14">
        <f t="shared" si="29"/>
        <v>2.8736936467127636</v>
      </c>
      <c r="N32" s="14">
        <f t="shared" si="30"/>
        <v>3.3260927683831146E-3</v>
      </c>
      <c r="O32" s="14">
        <f t="shared" si="31"/>
        <v>0.63671117071812533</v>
      </c>
      <c r="P32" s="14">
        <f t="shared" si="32"/>
        <v>2.2411065197997857</v>
      </c>
      <c r="Q32" s="14">
        <f t="shared" si="33"/>
        <v>-1.1895786566415985</v>
      </c>
      <c r="R32" s="1">
        <f t="shared" si="34"/>
        <v>7.4318628041350143E-2</v>
      </c>
      <c r="S32" s="1">
        <f t="shared" si="6"/>
        <v>-0.13099185803334401</v>
      </c>
      <c r="T32" s="1">
        <f t="shared" si="7"/>
        <v>0.37911688688948442</v>
      </c>
      <c r="U32" s="1">
        <f t="shared" si="8"/>
        <v>4.7445660090908364</v>
      </c>
      <c r="V32" s="1">
        <f t="shared" si="35"/>
        <v>0</v>
      </c>
      <c r="W32" s="1">
        <f t="shared" si="9"/>
        <v>0.37911688688948442</v>
      </c>
      <c r="X32" s="1">
        <f t="shared" si="10"/>
        <v>0.21888323669997672</v>
      </c>
      <c r="Z32" s="14">
        <f t="shared" si="36"/>
        <v>2.6548397177558178</v>
      </c>
      <c r="AA32" s="14">
        <f t="shared" si="11"/>
        <v>0.25231696711942969</v>
      </c>
      <c r="AB32" s="14">
        <f t="shared" si="12"/>
        <v>5.0063623372560988</v>
      </c>
      <c r="AC32" s="14">
        <f t="shared" si="37"/>
        <v>-4.4249051771315511</v>
      </c>
      <c r="AD32" s="14">
        <f t="shared" si="38"/>
        <v>2.341768140805307</v>
      </c>
      <c r="AE32" s="14">
        <f t="shared" si="39"/>
        <v>2.6516884288286056</v>
      </c>
      <c r="AF32" s="14">
        <f t="shared" si="13"/>
        <v>5.0071834641536119</v>
      </c>
      <c r="AG32" s="14">
        <f t="shared" si="40"/>
        <v>3.1603608518637472E-2</v>
      </c>
      <c r="AH32" s="14">
        <f t="shared" si="14"/>
        <v>4.1240438051486517E-3</v>
      </c>
      <c r="AI32" s="14">
        <f t="shared" si="15"/>
        <v>2.8736936467127587</v>
      </c>
      <c r="AJ32" s="14">
        <f t="shared" si="16"/>
        <v>-3.3260927683836385E-3</v>
      </c>
      <c r="AK32" s="14">
        <f t="shared" si="41"/>
        <v>0.63671117071812822</v>
      </c>
      <c r="AL32" s="14">
        <f t="shared" si="42"/>
        <v>2.241106519799779</v>
      </c>
      <c r="AM32" s="14">
        <f t="shared" si="43"/>
        <v>1.1844991503818256</v>
      </c>
      <c r="AN32" s="1">
        <f t="shared" si="17"/>
        <v>-7.6465320147358851E-2</v>
      </c>
      <c r="AO32" s="1">
        <f t="shared" si="18"/>
        <v>-0.12638826195581332</v>
      </c>
      <c r="AP32" s="1">
        <f t="shared" si="19"/>
        <v>0.50209055848894113</v>
      </c>
      <c r="AQ32" s="1">
        <f t="shared" si="20"/>
        <v>4.6413788466074752</v>
      </c>
      <c r="AR32" s="1">
        <f t="shared" si="44"/>
        <v>0</v>
      </c>
      <c r="AS32" s="1">
        <f t="shared" si="21"/>
        <v>0.50209055848894113</v>
      </c>
      <c r="AT32" s="1">
        <f t="shared" si="45"/>
        <v>0.28988211910115969</v>
      </c>
    </row>
    <row r="33" spans="1:46" x14ac:dyDescent="0.25">
      <c r="A33" s="14">
        <f t="shared" si="46"/>
        <v>0.31415926535897931</v>
      </c>
      <c r="B33" s="14">
        <f t="shared" si="2"/>
        <v>4.7552825814757673</v>
      </c>
      <c r="C33" s="14">
        <f t="shared" si="3"/>
        <v>1.545084971874737</v>
      </c>
      <c r="D33" s="14">
        <f t="shared" si="22"/>
        <v>0.49305551368839795</v>
      </c>
      <c r="E33" s="14">
        <f t="shared" si="4"/>
        <v>0.28392057563806</v>
      </c>
      <c r="F33" s="14">
        <f t="shared" si="5"/>
        <v>5.0080546016662648</v>
      </c>
      <c r="G33" s="14">
        <f t="shared" si="23"/>
        <v>4.4115489150346745</v>
      </c>
      <c r="H33" s="14">
        <f t="shared" si="24"/>
        <v>2.3704107373041992</v>
      </c>
      <c r="I33" s="14">
        <f t="shared" si="25"/>
        <v>0.4962068026156099</v>
      </c>
      <c r="J33" s="14">
        <f t="shared" si="26"/>
        <v>5.0089757932074939</v>
      </c>
      <c r="K33" s="14">
        <f t="shared" si="27"/>
        <v>3.1626237914469113E-2</v>
      </c>
      <c r="L33" s="14">
        <f t="shared" si="28"/>
        <v>5.1225602589381634E-3</v>
      </c>
      <c r="M33" s="14">
        <f t="shared" si="29"/>
        <v>2.8574756115415392</v>
      </c>
      <c r="N33" s="14">
        <f t="shared" si="30"/>
        <v>4.1863033459579426E-3</v>
      </c>
      <c r="O33" s="14">
        <f t="shared" si="31"/>
        <v>0.64814516253134247</v>
      </c>
      <c r="P33" s="14">
        <f t="shared" si="32"/>
        <v>2.214453009269135</v>
      </c>
      <c r="Q33" s="14">
        <f t="shared" si="33"/>
        <v>-1.191917337627866</v>
      </c>
      <c r="R33" s="1">
        <f t="shared" si="34"/>
        <v>8.3692974565399592E-2</v>
      </c>
      <c r="S33" s="1">
        <f t="shared" si="6"/>
        <v>-0.14437568311234394</v>
      </c>
      <c r="T33" s="1">
        <f t="shared" si="7"/>
        <v>0.4692003612672449</v>
      </c>
      <c r="U33" s="1">
        <f t="shared" si="8"/>
        <v>5.2568811748157218</v>
      </c>
      <c r="V33" s="1">
        <f t="shared" si="35"/>
        <v>0</v>
      </c>
      <c r="W33" s="1">
        <f t="shared" si="9"/>
        <v>0.4692003612672449</v>
      </c>
      <c r="X33" s="1">
        <f t="shared" si="10"/>
        <v>0.27089295488151349</v>
      </c>
      <c r="Z33" s="14">
        <f t="shared" si="36"/>
        <v>2.6485371399013937</v>
      </c>
      <c r="AA33" s="14">
        <f t="shared" si="11"/>
        <v>0.28392057563806716</v>
      </c>
      <c r="AB33" s="14">
        <f t="shared" si="12"/>
        <v>5.0080546016662648</v>
      </c>
      <c r="AC33" s="14">
        <f t="shared" si="37"/>
        <v>-4.4115489150346709</v>
      </c>
      <c r="AD33" s="14">
        <f t="shared" si="38"/>
        <v>2.3704107373042063</v>
      </c>
      <c r="AE33" s="14">
        <f t="shared" si="39"/>
        <v>2.6453858509741819</v>
      </c>
      <c r="AF33" s="14">
        <f t="shared" si="13"/>
        <v>5.0089757932074939</v>
      </c>
      <c r="AG33" s="14">
        <f t="shared" si="40"/>
        <v>3.1626237914470057E-2</v>
      </c>
      <c r="AH33" s="14">
        <f t="shared" si="14"/>
        <v>5.1225602589381573E-3</v>
      </c>
      <c r="AI33" s="14">
        <f t="shared" si="15"/>
        <v>2.8574756115415361</v>
      </c>
      <c r="AJ33" s="14">
        <f t="shared" si="16"/>
        <v>-4.1863033459579504E-3</v>
      </c>
      <c r="AK33" s="14">
        <f t="shared" si="41"/>
        <v>0.64814516253134524</v>
      </c>
      <c r="AL33" s="14">
        <f t="shared" si="42"/>
        <v>2.2144530092691292</v>
      </c>
      <c r="AM33" s="14">
        <f t="shared" si="43"/>
        <v>1.1869578088489248</v>
      </c>
      <c r="AN33" s="1">
        <f t="shared" si="17"/>
        <v>-8.5788961997011248E-2</v>
      </c>
      <c r="AO33" s="1">
        <f t="shared" si="18"/>
        <v>-0.13988082355995946</v>
      </c>
      <c r="AP33" s="1">
        <f t="shared" si="19"/>
        <v>0.58935537984903863</v>
      </c>
      <c r="AQ33" s="1">
        <f t="shared" si="20"/>
        <v>5.1560591430399425</v>
      </c>
      <c r="AR33" s="1">
        <f t="shared" si="44"/>
        <v>0</v>
      </c>
      <c r="AS33" s="1">
        <f t="shared" si="21"/>
        <v>0.58935537984903863</v>
      </c>
      <c r="AT33" s="1">
        <f t="shared" si="45"/>
        <v>0.34026448720419655</v>
      </c>
    </row>
    <row r="34" spans="1:46" x14ac:dyDescent="0.25">
      <c r="A34" s="14">
        <f t="shared" si="46"/>
        <v>0.3490658503988659</v>
      </c>
      <c r="B34" s="14">
        <f t="shared" si="2"/>
        <v>4.6984631039295426</v>
      </c>
      <c r="C34" s="14">
        <f t="shared" si="3"/>
        <v>1.7101007166283435</v>
      </c>
      <c r="D34" s="14">
        <f t="shared" si="22"/>
        <v>0.4993580915428219</v>
      </c>
      <c r="E34" s="14">
        <f t="shared" si="4"/>
        <v>0.31554681355252912</v>
      </c>
      <c r="F34" s="14">
        <f t="shared" si="5"/>
        <v>5.009947084704903</v>
      </c>
      <c r="G34" s="14">
        <f t="shared" si="23"/>
        <v>4.3981830893418632</v>
      </c>
      <c r="H34" s="14">
        <f t="shared" si="24"/>
        <v>2.3990738430007563</v>
      </c>
      <c r="I34" s="14">
        <f t="shared" si="25"/>
        <v>0.50250938047003391</v>
      </c>
      <c r="J34" s="14">
        <f t="shared" si="26"/>
        <v>5.0109685246058593</v>
      </c>
      <c r="K34" s="14">
        <f t="shared" si="27"/>
        <v>3.1651407036798695E-2</v>
      </c>
      <c r="L34" s="14">
        <f t="shared" si="28"/>
        <v>6.221878410115211E-3</v>
      </c>
      <c r="M34" s="14">
        <f t="shared" si="29"/>
        <v>2.8409974963569855</v>
      </c>
      <c r="N34" s="14">
        <f t="shared" si="30"/>
        <v>5.1512571244741439E-3</v>
      </c>
      <c r="O34" s="14">
        <f t="shared" si="31"/>
        <v>0.65943868785602378</v>
      </c>
      <c r="P34" s="14">
        <f t="shared" si="32"/>
        <v>2.187780686911077</v>
      </c>
      <c r="Q34" s="14">
        <f t="shared" si="33"/>
        <v>-1.1937576889627051</v>
      </c>
      <c r="R34" s="1">
        <f t="shared" si="34"/>
        <v>9.3150618428132104E-2</v>
      </c>
      <c r="S34" s="1">
        <f t="shared" si="6"/>
        <v>-0.157315818369542</v>
      </c>
      <c r="T34" s="1">
        <f t="shared" si="7"/>
        <v>0.56778171330132576</v>
      </c>
      <c r="U34" s="1">
        <f t="shared" si="8"/>
        <v>5.7587742220888272</v>
      </c>
      <c r="V34" s="1">
        <f t="shared" si="35"/>
        <v>0</v>
      </c>
      <c r="W34" s="1">
        <f t="shared" si="9"/>
        <v>0.56778171330132576</v>
      </c>
      <c r="X34" s="1">
        <f t="shared" si="10"/>
        <v>0.32780892501546732</v>
      </c>
      <c r="Z34" s="14">
        <f t="shared" si="36"/>
        <v>2.6422345620469696</v>
      </c>
      <c r="AA34" s="14">
        <f t="shared" si="11"/>
        <v>0.31554681355253722</v>
      </c>
      <c r="AB34" s="14">
        <f t="shared" si="12"/>
        <v>5.0099470847049039</v>
      </c>
      <c r="AC34" s="14">
        <f t="shared" si="37"/>
        <v>-4.3981830893418605</v>
      </c>
      <c r="AD34" s="14">
        <f t="shared" si="38"/>
        <v>2.3990738430007643</v>
      </c>
      <c r="AE34" s="14">
        <f t="shared" si="39"/>
        <v>2.6390832731197573</v>
      </c>
      <c r="AF34" s="14">
        <f t="shared" si="13"/>
        <v>5.0109685246058602</v>
      </c>
      <c r="AG34" s="14">
        <f t="shared" si="40"/>
        <v>3.1651407036799473E-2</v>
      </c>
      <c r="AH34" s="14">
        <f t="shared" si="14"/>
        <v>6.2218784101158347E-3</v>
      </c>
      <c r="AI34" s="14">
        <f t="shared" si="15"/>
        <v>2.8409974963569802</v>
      </c>
      <c r="AJ34" s="14">
        <f t="shared" si="16"/>
        <v>-5.1512571244746817E-3</v>
      </c>
      <c r="AK34" s="14">
        <f t="shared" si="41"/>
        <v>0.65943868785602733</v>
      </c>
      <c r="AL34" s="14">
        <f t="shared" si="42"/>
        <v>2.187780686911069</v>
      </c>
      <c r="AM34" s="14">
        <f t="shared" si="43"/>
        <v>1.1889177641955579</v>
      </c>
      <c r="AN34" s="1">
        <f t="shared" si="17"/>
        <v>-9.5196059020182688E-2</v>
      </c>
      <c r="AO34" s="1">
        <f t="shared" si="18"/>
        <v>-0.15292935686440823</v>
      </c>
      <c r="AP34" s="1">
        <f t="shared" si="19"/>
        <v>0.68513239004750526</v>
      </c>
      <c r="AQ34" s="1">
        <f t="shared" si="20"/>
        <v>5.6603053125130289</v>
      </c>
      <c r="AR34" s="1">
        <f t="shared" si="44"/>
        <v>0</v>
      </c>
      <c r="AS34" s="1">
        <f t="shared" si="21"/>
        <v>0.68513239004750526</v>
      </c>
      <c r="AT34" s="1">
        <f t="shared" si="45"/>
        <v>0.39556136982445883</v>
      </c>
    </row>
    <row r="35" spans="1:46" x14ac:dyDescent="0.25">
      <c r="A35" s="14">
        <f t="shared" si="46"/>
        <v>0.38397243543875248</v>
      </c>
      <c r="B35" s="14">
        <f t="shared" si="2"/>
        <v>4.6359192728339371</v>
      </c>
      <c r="C35" s="14">
        <f t="shared" si="3"/>
        <v>1.87303296707956</v>
      </c>
      <c r="D35" s="14">
        <f t="shared" si="22"/>
        <v>0.50566066939724585</v>
      </c>
      <c r="E35" s="14">
        <f t="shared" si="4"/>
        <v>0.34719822058932781</v>
      </c>
      <c r="F35" s="14">
        <f t="shared" si="5"/>
        <v>5.0120401638834053</v>
      </c>
      <c r="G35" s="14">
        <f t="shared" si="23"/>
        <v>4.3848066267183237</v>
      </c>
      <c r="H35" s="14">
        <f t="shared" si="24"/>
        <v>2.4277597596688731</v>
      </c>
      <c r="I35" s="14">
        <f t="shared" si="25"/>
        <v>0.50881195832445791</v>
      </c>
      <c r="J35" s="14">
        <f t="shared" si="26"/>
        <v>5.0131620560424777</v>
      </c>
      <c r="K35" s="14">
        <f t="shared" si="27"/>
        <v>3.1679123932348285E-2</v>
      </c>
      <c r="L35" s="14">
        <f t="shared" si="28"/>
        <v>7.4197783455419893E-3</v>
      </c>
      <c r="M35" s="14">
        <f t="shared" si="29"/>
        <v>2.8242677586941296</v>
      </c>
      <c r="N35" s="14">
        <f t="shared" si="30"/>
        <v>6.2222463681199658E-3</v>
      </c>
      <c r="O35" s="14">
        <f t="shared" si="31"/>
        <v>0.67057880984677032</v>
      </c>
      <c r="P35" s="14">
        <f t="shared" si="32"/>
        <v>2.161108727192901</v>
      </c>
      <c r="Q35" s="14">
        <f t="shared" si="33"/>
        <v>-1.1951054320947498</v>
      </c>
      <c r="R35" s="1">
        <f t="shared" si="34"/>
        <v>0.10267741687714615</v>
      </c>
      <c r="S35" s="1">
        <f t="shared" si="6"/>
        <v>-0.16980934571835282</v>
      </c>
      <c r="T35" s="1">
        <f t="shared" si="7"/>
        <v>0.67453762875103818</v>
      </c>
      <c r="U35" s="1">
        <f t="shared" si="8"/>
        <v>6.2500657161352038</v>
      </c>
      <c r="V35" s="1">
        <f t="shared" si="35"/>
        <v>0</v>
      </c>
      <c r="W35" s="1">
        <f t="shared" si="9"/>
        <v>0.67453762875103818</v>
      </c>
      <c r="X35" s="1">
        <f t="shared" si="10"/>
        <v>0.3894444815379437</v>
      </c>
      <c r="Z35" s="14">
        <f t="shared" si="36"/>
        <v>2.6359319841925455</v>
      </c>
      <c r="AA35" s="14">
        <f t="shared" si="11"/>
        <v>0.34719822058933669</v>
      </c>
      <c r="AB35" s="14">
        <f t="shared" si="12"/>
        <v>5.0120401638834062</v>
      </c>
      <c r="AC35" s="14">
        <f t="shared" si="37"/>
        <v>-4.3848066267183201</v>
      </c>
      <c r="AD35" s="14">
        <f t="shared" si="38"/>
        <v>2.427759759668882</v>
      </c>
      <c r="AE35" s="14">
        <f t="shared" si="39"/>
        <v>2.6327806952653336</v>
      </c>
      <c r="AF35" s="14">
        <f t="shared" si="13"/>
        <v>5.0131620560424786</v>
      </c>
      <c r="AG35" s="14">
        <f t="shared" si="40"/>
        <v>3.1679123932348896E-2</v>
      </c>
      <c r="AH35" s="14">
        <f t="shared" si="14"/>
        <v>7.4197783455426086E-3</v>
      </c>
      <c r="AI35" s="14">
        <f t="shared" si="15"/>
        <v>2.8242677586941252</v>
      </c>
      <c r="AJ35" s="14">
        <f t="shared" si="16"/>
        <v>-6.222246368120507E-3</v>
      </c>
      <c r="AK35" s="14">
        <f t="shared" si="41"/>
        <v>0.67057880984677332</v>
      </c>
      <c r="AL35" s="14">
        <f t="shared" si="42"/>
        <v>2.1611087271928948</v>
      </c>
      <c r="AM35" s="14">
        <f t="shared" si="43"/>
        <v>1.190384636565375</v>
      </c>
      <c r="AN35" s="1">
        <f t="shared" si="17"/>
        <v>-0.10467251127780652</v>
      </c>
      <c r="AO35" s="1">
        <f t="shared" si="18"/>
        <v>-0.16553085196907491</v>
      </c>
      <c r="AP35" s="1">
        <f t="shared" si="19"/>
        <v>0.7891000858910755</v>
      </c>
      <c r="AQ35" s="1">
        <f t="shared" si="20"/>
        <v>6.1539364006025083</v>
      </c>
      <c r="AR35" s="1">
        <f t="shared" si="44"/>
        <v>0</v>
      </c>
      <c r="AS35" s="1">
        <f t="shared" si="21"/>
        <v>0.7891000858910755</v>
      </c>
      <c r="AT35" s="1">
        <f t="shared" si="45"/>
        <v>0.45558714700676922</v>
      </c>
    </row>
    <row r="36" spans="1:46" x14ac:dyDescent="0.25">
      <c r="A36" s="14">
        <f t="shared" si="46"/>
        <v>0.41887902047863906</v>
      </c>
      <c r="B36" s="14">
        <f t="shared" si="2"/>
        <v>4.5677272882130042</v>
      </c>
      <c r="C36" s="14">
        <f t="shared" si="3"/>
        <v>2.0336832153790008</v>
      </c>
      <c r="D36" s="14">
        <f t="shared" si="22"/>
        <v>0.51196324725166986</v>
      </c>
      <c r="E36" s="14">
        <f t="shared" si="4"/>
        <v>0.3788773445216761</v>
      </c>
      <c r="F36" s="14">
        <f t="shared" si="5"/>
        <v>5.0143342571264435</v>
      </c>
      <c r="G36" s="14">
        <f t="shared" si="23"/>
        <v>4.3714184504285676</v>
      </c>
      <c r="H36" s="14">
        <f t="shared" si="24"/>
        <v>2.4564707963752599</v>
      </c>
      <c r="I36" s="14">
        <f t="shared" si="25"/>
        <v>0.51511453617888181</v>
      </c>
      <c r="J36" s="14">
        <f t="shared" si="26"/>
        <v>5.0155568257239453</v>
      </c>
      <c r="K36" s="14">
        <f t="shared" si="27"/>
        <v>3.1709397473467182E-2</v>
      </c>
      <c r="L36" s="14">
        <f t="shared" si="28"/>
        <v>8.7140002554910133E-3</v>
      </c>
      <c r="M36" s="14">
        <f t="shared" si="29"/>
        <v>2.8072949648274568</v>
      </c>
      <c r="N36" s="14">
        <f t="shared" si="30"/>
        <v>7.4004085458087435E-3</v>
      </c>
      <c r="O36" s="14">
        <f t="shared" si="31"/>
        <v>0.68155295380004177</v>
      </c>
      <c r="P36" s="14">
        <f t="shared" si="32"/>
        <v>2.1344560112829059</v>
      </c>
      <c r="Q36" s="14">
        <f t="shared" si="33"/>
        <v>-1.1959668876068517</v>
      </c>
      <c r="R36" s="1">
        <f t="shared" si="34"/>
        <v>0.11225930216696589</v>
      </c>
      <c r="S36" s="1">
        <f t="shared" si="6"/>
        <v>-0.18185401402570711</v>
      </c>
      <c r="T36" s="1">
        <f t="shared" si="7"/>
        <v>0.78914075346836732</v>
      </c>
      <c r="U36" s="1">
        <f t="shared" si="8"/>
        <v>6.7305904171156516</v>
      </c>
      <c r="V36" s="1">
        <f t="shared" si="35"/>
        <v>0</v>
      </c>
      <c r="W36" s="1">
        <f t="shared" si="9"/>
        <v>0.78914075346836732</v>
      </c>
      <c r="X36" s="1">
        <f t="shared" si="10"/>
        <v>0.45561062644346595</v>
      </c>
      <c r="Z36" s="14">
        <f t="shared" si="36"/>
        <v>2.6296294063381214</v>
      </c>
      <c r="AA36" s="14">
        <f t="shared" si="11"/>
        <v>0.37887734452168559</v>
      </c>
      <c r="AB36" s="14">
        <f t="shared" si="12"/>
        <v>5.0143342571264435</v>
      </c>
      <c r="AC36" s="14">
        <f t="shared" si="37"/>
        <v>-4.3714184504285631</v>
      </c>
      <c r="AD36" s="14">
        <f t="shared" si="38"/>
        <v>2.4564707963752688</v>
      </c>
      <c r="AE36" s="14">
        <f t="shared" si="39"/>
        <v>2.6264781174109091</v>
      </c>
      <c r="AF36" s="14">
        <f t="shared" si="13"/>
        <v>5.0155568257239471</v>
      </c>
      <c r="AG36" s="14">
        <f t="shared" si="40"/>
        <v>3.1709397473467738E-2</v>
      </c>
      <c r="AH36" s="14">
        <f t="shared" si="14"/>
        <v>8.7140002554920524E-3</v>
      </c>
      <c r="AI36" s="14">
        <f t="shared" si="15"/>
        <v>2.8072949648274492</v>
      </c>
      <c r="AJ36" s="14">
        <f t="shared" si="16"/>
        <v>-7.4004085458095623E-3</v>
      </c>
      <c r="AK36" s="14">
        <f t="shared" si="41"/>
        <v>0.68155295380004566</v>
      </c>
      <c r="AL36" s="14">
        <f t="shared" si="42"/>
        <v>2.1344560112828956</v>
      </c>
      <c r="AM36" s="14">
        <f t="shared" si="43"/>
        <v>1.1913646472898056</v>
      </c>
      <c r="AN36" s="1">
        <f t="shared" si="17"/>
        <v>-0.11420429296987233</v>
      </c>
      <c r="AO36" s="1">
        <f t="shared" si="18"/>
        <v>-0.17768296778855863</v>
      </c>
      <c r="AP36" s="1">
        <f t="shared" si="19"/>
        <v>0.90093288813336458</v>
      </c>
      <c r="AQ36" s="1">
        <f t="shared" si="20"/>
        <v>6.6367856781500691</v>
      </c>
      <c r="AR36" s="1">
        <f t="shared" si="44"/>
        <v>0</v>
      </c>
      <c r="AS36" s="1">
        <f t="shared" si="21"/>
        <v>0.90093288813336458</v>
      </c>
      <c r="AT36" s="1">
        <f t="shared" si="45"/>
        <v>0.52015384548558496</v>
      </c>
    </row>
    <row r="37" spans="1:46" x14ac:dyDescent="0.25">
      <c r="A37" s="14">
        <f t="shared" si="46"/>
        <v>0.45378560551852565</v>
      </c>
      <c r="B37" s="14">
        <f t="shared" si="2"/>
        <v>4.493970231495835</v>
      </c>
      <c r="C37" s="14">
        <f t="shared" si="3"/>
        <v>2.191855733945387</v>
      </c>
      <c r="D37" s="14">
        <f t="shared" si="22"/>
        <v>0.51826582510609387</v>
      </c>
      <c r="E37" s="14">
        <f t="shared" si="4"/>
        <v>0.41058674199514328</v>
      </c>
      <c r="F37" s="14">
        <f t="shared" si="5"/>
        <v>5.0168298229760779</v>
      </c>
      <c r="G37" s="14">
        <f t="shared" si="23"/>
        <v>4.3580174799874856</v>
      </c>
      <c r="H37" s="14">
        <f t="shared" si="24"/>
        <v>2.4852092702277035</v>
      </c>
      <c r="I37" s="14">
        <f t="shared" si="25"/>
        <v>0.52141711403330593</v>
      </c>
      <c r="J37" s="14">
        <f t="shared" si="26"/>
        <v>5.0181533125838635</v>
      </c>
      <c r="K37" s="14">
        <f t="shared" si="27"/>
        <v>3.1742237364182635E-2</v>
      </c>
      <c r="L37" s="14">
        <f t="shared" si="28"/>
        <v>1.0102248513991432E-2</v>
      </c>
      <c r="M37" s="14">
        <f t="shared" si="29"/>
        <v>2.7900877822489787</v>
      </c>
      <c r="N37" s="14">
        <f t="shared" si="30"/>
        <v>8.6867246218947664E-3</v>
      </c>
      <c r="O37" s="14">
        <f t="shared" si="31"/>
        <v>0.69234892999980691</v>
      </c>
      <c r="P37" s="14">
        <f t="shared" si="32"/>
        <v>2.1078411007631632</v>
      </c>
      <c r="Q37" s="14">
        <f t="shared" si="33"/>
        <v>-1.196348958187166</v>
      </c>
      <c r="R37" s="1">
        <f t="shared" si="34"/>
        <v>0.12188230946096068</v>
      </c>
      <c r="S37" s="1">
        <f t="shared" si="6"/>
        <v>-0.1934482347880816</v>
      </c>
      <c r="T37" s="1">
        <f t="shared" si="7"/>
        <v>0.91126025907832597</v>
      </c>
      <c r="U37" s="1">
        <f t="shared" si="8"/>
        <v>7.2001974454475173</v>
      </c>
      <c r="V37" s="1">
        <f t="shared" si="35"/>
        <v>0</v>
      </c>
      <c r="W37" s="1">
        <f t="shared" si="9"/>
        <v>0.91126025907832597</v>
      </c>
      <c r="X37" s="1">
        <f t="shared" si="10"/>
        <v>0.52611635588067962</v>
      </c>
      <c r="Z37" s="14">
        <f t="shared" si="36"/>
        <v>2.6233268284836972</v>
      </c>
      <c r="AA37" s="14">
        <f t="shared" si="11"/>
        <v>0.41058674199515333</v>
      </c>
      <c r="AB37" s="14">
        <f t="shared" si="12"/>
        <v>5.0168298229760788</v>
      </c>
      <c r="AC37" s="14">
        <f t="shared" si="37"/>
        <v>-4.3580174799874811</v>
      </c>
      <c r="AD37" s="14">
        <f t="shared" si="38"/>
        <v>2.4852092702277129</v>
      </c>
      <c r="AE37" s="14">
        <f t="shared" si="39"/>
        <v>2.6201755395564854</v>
      </c>
      <c r="AF37" s="14">
        <f t="shared" si="13"/>
        <v>5.0181533125838644</v>
      </c>
      <c r="AG37" s="14">
        <f t="shared" si="40"/>
        <v>3.1742237364183135E-2</v>
      </c>
      <c r="AH37" s="14">
        <f t="shared" si="14"/>
        <v>1.0102248513992038E-2</v>
      </c>
      <c r="AI37" s="14">
        <f t="shared" si="15"/>
        <v>2.7900877822489734</v>
      </c>
      <c r="AJ37" s="14">
        <f t="shared" si="16"/>
        <v>-8.6867246218953215E-3</v>
      </c>
      <c r="AK37" s="14">
        <f t="shared" si="41"/>
        <v>0.6923489299998099</v>
      </c>
      <c r="AL37" s="14">
        <f t="shared" si="42"/>
        <v>2.1078411007631552</v>
      </c>
      <c r="AM37" s="14">
        <f t="shared" si="43"/>
        <v>1.1918646020143298</v>
      </c>
      <c r="AN37" s="1">
        <f t="shared" si="17"/>
        <v>-0.1237774802717535</v>
      </c>
      <c r="AO37" s="1">
        <f t="shared" si="18"/>
        <v>-0.18938402786879738</v>
      </c>
      <c r="AP37" s="1">
        <f t="shared" si="19"/>
        <v>1.0203017047841929</v>
      </c>
      <c r="AQ37" s="1">
        <f t="shared" si="20"/>
        <v>7.1087008085729657</v>
      </c>
      <c r="AR37" s="1">
        <f t="shared" si="44"/>
        <v>0</v>
      </c>
      <c r="AS37" s="1">
        <f t="shared" si="21"/>
        <v>1.0203017047841929</v>
      </c>
      <c r="AT37" s="1">
        <f t="shared" si="45"/>
        <v>0.58907146391178777</v>
      </c>
    </row>
    <row r="38" spans="1:46" x14ac:dyDescent="0.25">
      <c r="A38" s="14">
        <f t="shared" si="46"/>
        <v>0.48869219055841223</v>
      </c>
      <c r="B38" s="14">
        <f t="shared" si="2"/>
        <v>4.4147379642946349</v>
      </c>
      <c r="C38" s="14">
        <f t="shared" si="3"/>
        <v>2.3473578139294538</v>
      </c>
      <c r="D38" s="14">
        <f t="shared" si="22"/>
        <v>0.52456840296051788</v>
      </c>
      <c r="E38" s="14">
        <f t="shared" si="4"/>
        <v>0.44232897935932591</v>
      </c>
      <c r="F38" s="14">
        <f t="shared" si="5"/>
        <v>5.0195273608160624</v>
      </c>
      <c r="G38" s="14">
        <f t="shared" si="23"/>
        <v>4.3446026308088737</v>
      </c>
      <c r="H38" s="14">
        <f t="shared" si="24"/>
        <v>2.5139775071288279</v>
      </c>
      <c r="I38" s="14">
        <f t="shared" si="25"/>
        <v>0.52771969188772982</v>
      </c>
      <c r="J38" s="14">
        <f t="shared" si="26"/>
        <v>5.0209520365172997</v>
      </c>
      <c r="K38" s="14">
        <f t="shared" si="27"/>
        <v>3.1777654146830259E-2</v>
      </c>
      <c r="L38" s="14">
        <f t="shared" si="28"/>
        <v>1.1582195802554845E-2</v>
      </c>
      <c r="M38" s="14">
        <f t="shared" si="29"/>
        <v>2.7726549720657987</v>
      </c>
      <c r="N38" s="14">
        <f t="shared" si="30"/>
        <v>1.0082017551866079E-2</v>
      </c>
      <c r="O38" s="14">
        <f t="shared" si="31"/>
        <v>0.70295495568297905</v>
      </c>
      <c r="P38" s="14">
        <f t="shared" si="32"/>
        <v>2.081282212185374</v>
      </c>
      <c r="Q38" s="14">
        <f t="shared" si="33"/>
        <v>-1.1962591105312703</v>
      </c>
      <c r="R38" s="1">
        <f t="shared" si="34"/>
        <v>0.13153260438728631</v>
      </c>
      <c r="S38" s="1">
        <f t="shared" si="6"/>
        <v>-0.20459107648240638</v>
      </c>
      <c r="T38" s="1">
        <f t="shared" si="7"/>
        <v>1.0405624149702333</v>
      </c>
      <c r="U38" s="1">
        <f t="shared" si="8"/>
        <v>7.6587504248734204</v>
      </c>
      <c r="V38" s="1">
        <f t="shared" si="35"/>
        <v>0</v>
      </c>
      <c r="W38" s="1">
        <f t="shared" si="9"/>
        <v>1.0405624149702333</v>
      </c>
      <c r="X38" s="1">
        <f t="shared" si="10"/>
        <v>0.6007689903916712</v>
      </c>
      <c r="Z38" s="14">
        <f t="shared" si="36"/>
        <v>2.6170242506292731</v>
      </c>
      <c r="AA38" s="14">
        <f t="shared" si="11"/>
        <v>0.44232897935933646</v>
      </c>
      <c r="AB38" s="14">
        <f t="shared" si="12"/>
        <v>5.0195273608160633</v>
      </c>
      <c r="AC38" s="14">
        <f t="shared" si="37"/>
        <v>-4.3446026308088692</v>
      </c>
      <c r="AD38" s="14">
        <f t="shared" si="38"/>
        <v>2.5139775071288377</v>
      </c>
      <c r="AE38" s="14">
        <f t="shared" si="39"/>
        <v>2.6138729617020608</v>
      </c>
      <c r="AF38" s="14">
        <f t="shared" si="13"/>
        <v>5.0209520365173006</v>
      </c>
      <c r="AG38" s="14">
        <f t="shared" si="40"/>
        <v>3.177765414683098E-2</v>
      </c>
      <c r="AH38" s="14">
        <f t="shared" si="14"/>
        <v>1.1582195802555439E-2</v>
      </c>
      <c r="AI38" s="14">
        <f t="shared" si="15"/>
        <v>2.7726549720657916</v>
      </c>
      <c r="AJ38" s="14">
        <f t="shared" si="16"/>
        <v>-1.0082017551866648E-2</v>
      </c>
      <c r="AK38" s="14">
        <f t="shared" si="41"/>
        <v>0.70295495568298338</v>
      </c>
      <c r="AL38" s="14">
        <f t="shared" si="42"/>
        <v>2.0812822121853642</v>
      </c>
      <c r="AM38" s="14">
        <f t="shared" si="43"/>
        <v>1.1918918727503409</v>
      </c>
      <c r="AN38" s="1">
        <f t="shared" si="17"/>
        <v>-0.13337827882687492</v>
      </c>
      <c r="AO38" s="1">
        <f t="shared" si="18"/>
        <v>-0.20063301487371354</v>
      </c>
      <c r="AP38" s="1">
        <f t="shared" si="19"/>
        <v>1.1468745007947578</v>
      </c>
      <c r="AQ38" s="1">
        <f t="shared" si="20"/>
        <v>7.5695439928687875</v>
      </c>
      <c r="AR38" s="1">
        <f t="shared" si="44"/>
        <v>0</v>
      </c>
      <c r="AS38" s="1">
        <f t="shared" si="21"/>
        <v>1.1468745007947578</v>
      </c>
      <c r="AT38" s="1">
        <f t="shared" si="45"/>
        <v>0.66214830176057105</v>
      </c>
    </row>
    <row r="39" spans="1:46" x14ac:dyDescent="0.25">
      <c r="A39" s="14">
        <f t="shared" si="46"/>
        <v>0.52359877559829882</v>
      </c>
      <c r="B39" s="14">
        <f t="shared" si="2"/>
        <v>4.3301270189221936</v>
      </c>
      <c r="C39" s="14">
        <f t="shared" si="3"/>
        <v>2.4999999999999996</v>
      </c>
      <c r="D39" s="14">
        <f t="shared" si="22"/>
        <v>0.53087098081494188</v>
      </c>
      <c r="E39" s="14">
        <f t="shared" si="4"/>
        <v>0.47410663350615617</v>
      </c>
      <c r="F39" s="14">
        <f t="shared" si="5"/>
        <v>5.0224274111165155</v>
      </c>
      <c r="G39" s="14">
        <f t="shared" si="23"/>
        <v>4.3311728138511434</v>
      </c>
      <c r="H39" s="14">
        <f t="shared" si="24"/>
        <v>2.542777842535858</v>
      </c>
      <c r="I39" s="14">
        <f t="shared" si="25"/>
        <v>0.53402226974215394</v>
      </c>
      <c r="J39" s="14">
        <f t="shared" si="26"/>
        <v>5.0239535586357427</v>
      </c>
      <c r="K39" s="14">
        <f t="shared" si="27"/>
        <v>3.1815659209271374E-2</v>
      </c>
      <c r="L39" s="14">
        <f t="shared" si="28"/>
        <v>1.3151487270758749E-2</v>
      </c>
      <c r="M39" s="14">
        <f t="shared" si="29"/>
        <v>2.7550053813257795</v>
      </c>
      <c r="N39" s="14">
        <f t="shared" si="30"/>
        <v>1.1586950984967617E-2</v>
      </c>
      <c r="O39" s="14">
        <f t="shared" si="31"/>
        <v>0.71335967607740558</v>
      </c>
      <c r="P39" s="14">
        <f t="shared" si="32"/>
        <v>2.0547971925191328</v>
      </c>
      <c r="Q39" s="14">
        <f t="shared" si="33"/>
        <v>-1.195705356218647</v>
      </c>
      <c r="R39" s="1">
        <f t="shared" si="34"/>
        <v>0.1411965101877265</v>
      </c>
      <c r="S39" s="1">
        <f t="shared" si="6"/>
        <v>-0.21528225761028597</v>
      </c>
      <c r="T39" s="1">
        <f t="shared" si="7"/>
        <v>1.1767111657525484</v>
      </c>
      <c r="U39" s="1">
        <f t="shared" si="8"/>
        <v>8.1061276030673142</v>
      </c>
      <c r="V39" s="1">
        <f t="shared" si="35"/>
        <v>0</v>
      </c>
      <c r="W39" s="1">
        <f t="shared" si="9"/>
        <v>1.1767111657525484</v>
      </c>
      <c r="X39" s="1">
        <f t="shared" si="10"/>
        <v>0.67937450830567214</v>
      </c>
      <c r="Z39" s="14">
        <f t="shared" si="36"/>
        <v>2.610721672774849</v>
      </c>
      <c r="AA39" s="14">
        <f t="shared" si="11"/>
        <v>0.47410663350616744</v>
      </c>
      <c r="AB39" s="14">
        <f t="shared" si="12"/>
        <v>5.0224274111165164</v>
      </c>
      <c r="AC39" s="14">
        <f t="shared" si="37"/>
        <v>-4.3311728138511381</v>
      </c>
      <c r="AD39" s="14">
        <f t="shared" si="38"/>
        <v>2.5427778425358682</v>
      </c>
      <c r="AE39" s="14">
        <f t="shared" si="39"/>
        <v>2.6075703838476372</v>
      </c>
      <c r="AF39" s="14">
        <f t="shared" si="13"/>
        <v>5.0239535586357436</v>
      </c>
      <c r="AG39" s="14">
        <f t="shared" si="40"/>
        <v>3.1815659209271985E-2</v>
      </c>
      <c r="AH39" s="14">
        <f t="shared" si="14"/>
        <v>1.3151487270759033E-2</v>
      </c>
      <c r="AI39" s="14">
        <f t="shared" si="15"/>
        <v>2.7550053813257738</v>
      </c>
      <c r="AJ39" s="14">
        <f t="shared" si="16"/>
        <v>-1.1586950984967917E-2</v>
      </c>
      <c r="AK39" s="14">
        <f t="shared" si="41"/>
        <v>0.71335967607740902</v>
      </c>
      <c r="AL39" s="14">
        <f t="shared" si="42"/>
        <v>2.0547971925191231</v>
      </c>
      <c r="AM39" s="14">
        <f t="shared" si="43"/>
        <v>1.1914543788956891</v>
      </c>
      <c r="AN39" s="1">
        <f t="shared" si="17"/>
        <v>-0.14299305083465708</v>
      </c>
      <c r="AO39" s="1">
        <f t="shared" si="18"/>
        <v>-0.21142956375997701</v>
      </c>
      <c r="AP39" s="1">
        <f t="shared" si="19"/>
        <v>1.2803168732730132</v>
      </c>
      <c r="AQ39" s="1">
        <f t="shared" si="20"/>
        <v>8.0191920920993862</v>
      </c>
      <c r="AR39" s="1">
        <f t="shared" si="44"/>
        <v>0</v>
      </c>
      <c r="AS39" s="1">
        <f t="shared" si="21"/>
        <v>1.2803168732730132</v>
      </c>
      <c r="AT39" s="1">
        <f t="shared" si="45"/>
        <v>0.73919129143219409</v>
      </c>
    </row>
    <row r="40" spans="1:46" x14ac:dyDescent="0.25">
      <c r="A40" s="14">
        <f t="shared" si="46"/>
        <v>0.55850536063818546</v>
      </c>
      <c r="B40" s="14">
        <f t="shared" si="2"/>
        <v>4.2402404807821297</v>
      </c>
      <c r="C40" s="14">
        <f t="shared" si="3"/>
        <v>2.6495963211660243</v>
      </c>
      <c r="D40" s="14">
        <f t="shared" si="22"/>
        <v>0.53717355866936589</v>
      </c>
      <c r="E40" s="14">
        <f t="shared" si="4"/>
        <v>0.50592229271542755</v>
      </c>
      <c r="F40" s="14">
        <f t="shared" si="5"/>
        <v>5.0255305556992127</v>
      </c>
      <c r="G40" s="14">
        <f t="shared" si="23"/>
        <v>4.3177269352599863</v>
      </c>
      <c r="H40" s="14">
        <f t="shared" si="24"/>
        <v>2.5716126222269251</v>
      </c>
      <c r="I40" s="14">
        <f t="shared" si="25"/>
        <v>0.54032484759657784</v>
      </c>
      <c r="J40" s="14">
        <f t="shared" si="26"/>
        <v>5.0271584815427861</v>
      </c>
      <c r="K40" s="14">
        <f t="shared" si="27"/>
        <v>3.1856264792706646E-2</v>
      </c>
      <c r="L40" s="14">
        <f t="shared" si="28"/>
        <v>1.4807744727109558E-2</v>
      </c>
      <c r="M40" s="14">
        <f t="shared" si="29"/>
        <v>2.7371479352800767</v>
      </c>
      <c r="N40" s="14">
        <f t="shared" si="30"/>
        <v>1.3202028175442302E-2</v>
      </c>
      <c r="O40" s="14">
        <f t="shared" si="31"/>
        <v>0.7235521844673366</v>
      </c>
      <c r="P40" s="14">
        <f t="shared" si="32"/>
        <v>2.02840349553985</v>
      </c>
      <c r="Q40" s="14">
        <f t="shared" si="33"/>
        <v>-1.1946962316091159</v>
      </c>
      <c r="R40" s="1">
        <f t="shared" si="34"/>
        <v>0.15086053439931713</v>
      </c>
      <c r="S40" s="1">
        <f t="shared" si="6"/>
        <v>-0.22552213845687263</v>
      </c>
      <c r="T40" s="1">
        <f t="shared" si="7"/>
        <v>1.3193687133165557</v>
      </c>
      <c r="U40" s="1">
        <f t="shared" si="8"/>
        <v>8.5422219495984741</v>
      </c>
      <c r="V40" s="1">
        <f t="shared" si="35"/>
        <v>0</v>
      </c>
      <c r="W40" s="1">
        <f t="shared" si="9"/>
        <v>1.3193687133165557</v>
      </c>
      <c r="X40" s="1">
        <f t="shared" si="10"/>
        <v>0.76173788179368362</v>
      </c>
      <c r="Z40" s="14">
        <f t="shared" si="36"/>
        <v>2.6044190949204249</v>
      </c>
      <c r="AA40" s="14">
        <f t="shared" si="11"/>
        <v>0.50592229271543943</v>
      </c>
      <c r="AB40" s="14">
        <f t="shared" si="12"/>
        <v>5.0255305556992136</v>
      </c>
      <c r="AC40" s="14">
        <f t="shared" si="37"/>
        <v>-4.317726935259981</v>
      </c>
      <c r="AD40" s="14">
        <f t="shared" si="38"/>
        <v>2.5716126222269362</v>
      </c>
      <c r="AE40" s="14">
        <f t="shared" si="39"/>
        <v>2.6012678059932126</v>
      </c>
      <c r="AF40" s="14">
        <f t="shared" si="13"/>
        <v>5.0271584815427879</v>
      </c>
      <c r="AG40" s="14">
        <f t="shared" si="40"/>
        <v>3.1856264792707201E-2</v>
      </c>
      <c r="AH40" s="14">
        <f t="shared" si="14"/>
        <v>1.4807744727110748E-2</v>
      </c>
      <c r="AI40" s="14">
        <f t="shared" si="15"/>
        <v>2.7371479352800683</v>
      </c>
      <c r="AJ40" s="14">
        <f t="shared" si="16"/>
        <v>-1.3202028175443439E-2</v>
      </c>
      <c r="AK40" s="14">
        <f t="shared" si="41"/>
        <v>0.72355218446734082</v>
      </c>
      <c r="AL40" s="14">
        <f t="shared" si="42"/>
        <v>2.0284034955398385</v>
      </c>
      <c r="AM40" s="14">
        <f t="shared" si="43"/>
        <v>1.1905605672691379</v>
      </c>
      <c r="AN40" s="1">
        <f t="shared" si="17"/>
        <v>-0.15260834167382531</v>
      </c>
      <c r="AO40" s="1">
        <f t="shared" si="18"/>
        <v>-0.22177395366098585</v>
      </c>
      <c r="AP40" s="1">
        <f t="shared" si="19"/>
        <v>1.4202926313801394</v>
      </c>
      <c r="AQ40" s="1">
        <f t="shared" si="20"/>
        <v>8.4575367271747517</v>
      </c>
      <c r="AR40" s="1">
        <f t="shared" si="44"/>
        <v>0</v>
      </c>
      <c r="AS40" s="1">
        <f t="shared" si="21"/>
        <v>1.4202926313801394</v>
      </c>
      <c r="AT40" s="1">
        <f t="shared" si="45"/>
        <v>0.8200063330553653</v>
      </c>
    </row>
    <row r="41" spans="1:46" x14ac:dyDescent="0.25">
      <c r="A41" s="14">
        <f t="shared" si="46"/>
        <v>0.59341194567807209</v>
      </c>
      <c r="B41" s="14">
        <f t="shared" si="2"/>
        <v>4.1451878627752077</v>
      </c>
      <c r="C41" s="14">
        <f t="shared" si="3"/>
        <v>2.7959645173537346</v>
      </c>
      <c r="D41" s="14">
        <f t="shared" si="22"/>
        <v>0.5434761365237899</v>
      </c>
      <c r="E41" s="14">
        <f t="shared" si="4"/>
        <v>0.53777855750813419</v>
      </c>
      <c r="F41" s="14">
        <f t="shared" si="5"/>
        <v>5.0288374180237252</v>
      </c>
      <c r="G41" s="14">
        <f t="shared" si="23"/>
        <v>4.3042638960077415</v>
      </c>
      <c r="H41" s="14">
        <f t="shared" si="24"/>
        <v>2.6004842030744562</v>
      </c>
      <c r="I41" s="14">
        <f t="shared" si="25"/>
        <v>0.54662742545100196</v>
      </c>
      <c r="J41" s="14">
        <f t="shared" si="26"/>
        <v>5.0305674496307899</v>
      </c>
      <c r="K41" s="14">
        <f t="shared" si="27"/>
        <v>3.1899484000093903E-2</v>
      </c>
      <c r="L41" s="14">
        <f t="shared" si="28"/>
        <v>1.6548570853565731E-2</v>
      </c>
      <c r="M41" s="14">
        <f t="shared" si="29"/>
        <v>2.7190916295912788</v>
      </c>
      <c r="N41" s="14">
        <f t="shared" si="30"/>
        <v>1.4927591103787122E-2</v>
      </c>
      <c r="O41" s="14">
        <f t="shared" si="31"/>
        <v>0.73352204124363352</v>
      </c>
      <c r="P41" s="14">
        <f t="shared" si="32"/>
        <v>2.0021181592012112</v>
      </c>
      <c r="Q41" s="14">
        <f t="shared" si="33"/>
        <v>-1.1932407768069071</v>
      </c>
      <c r="R41" s="1">
        <f t="shared" si="34"/>
        <v>0.16051139500986678</v>
      </c>
      <c r="S41" s="1">
        <f t="shared" si="6"/>
        <v>-0.23531171158865616</v>
      </c>
      <c r="T41" s="1">
        <f t="shared" si="7"/>
        <v>1.4681961026494947</v>
      </c>
      <c r="U41" s="1">
        <f t="shared" si="8"/>
        <v>8.9669412311080681</v>
      </c>
      <c r="V41" s="1">
        <f t="shared" si="35"/>
        <v>0</v>
      </c>
      <c r="W41" s="1">
        <f t="shared" si="9"/>
        <v>1.4681961026494947</v>
      </c>
      <c r="X41" s="1">
        <f t="shared" si="10"/>
        <v>0.84766341508784515</v>
      </c>
      <c r="Z41" s="14">
        <f t="shared" si="36"/>
        <v>2.5981165170660008</v>
      </c>
      <c r="AA41" s="14">
        <f t="shared" si="11"/>
        <v>0.53777855750814663</v>
      </c>
      <c r="AB41" s="14">
        <f t="shared" si="12"/>
        <v>5.028837418023727</v>
      </c>
      <c r="AC41" s="14">
        <f t="shared" si="37"/>
        <v>-4.3042638960077362</v>
      </c>
      <c r="AD41" s="14">
        <f t="shared" si="38"/>
        <v>2.6004842030744681</v>
      </c>
      <c r="AE41" s="14">
        <f t="shared" si="39"/>
        <v>2.5949652281387889</v>
      </c>
      <c r="AF41" s="14">
        <f t="shared" si="13"/>
        <v>5.0305674496307908</v>
      </c>
      <c r="AG41" s="14">
        <f t="shared" si="40"/>
        <v>3.1899484000094236E-2</v>
      </c>
      <c r="AH41" s="14">
        <f t="shared" si="14"/>
        <v>1.6548570853566303E-2</v>
      </c>
      <c r="AI41" s="14">
        <f t="shared" si="15"/>
        <v>2.7190916295912717</v>
      </c>
      <c r="AJ41" s="14">
        <f t="shared" si="16"/>
        <v>-1.4927591103787713E-2</v>
      </c>
      <c r="AK41" s="14">
        <f t="shared" si="41"/>
        <v>0.73352204124363707</v>
      </c>
      <c r="AL41" s="14">
        <f t="shared" si="42"/>
        <v>2.0021181592012014</v>
      </c>
      <c r="AM41" s="14">
        <f t="shared" si="43"/>
        <v>1.1892193912062095</v>
      </c>
      <c r="AN41" s="1">
        <f t="shared" si="17"/>
        <v>-0.16221090600222587</v>
      </c>
      <c r="AO41" s="1">
        <f t="shared" si="18"/>
        <v>-0.23166709850407086</v>
      </c>
      <c r="AP41" s="1">
        <f t="shared" si="19"/>
        <v>1.5664643800492244</v>
      </c>
      <c r="AQ41" s="1">
        <f t="shared" si="20"/>
        <v>8.884484355785828</v>
      </c>
      <c r="AR41" s="1">
        <f t="shared" si="44"/>
        <v>0</v>
      </c>
      <c r="AS41" s="1">
        <f t="shared" si="21"/>
        <v>1.5664643800492244</v>
      </c>
      <c r="AT41" s="1">
        <f t="shared" si="45"/>
        <v>0.90439863149737987</v>
      </c>
    </row>
    <row r="42" spans="1:46" x14ac:dyDescent="0.25">
      <c r="A42" s="14">
        <f t="shared" si="46"/>
        <v>0.62831853071795873</v>
      </c>
      <c r="B42" s="14">
        <f t="shared" si="2"/>
        <v>4.0450849718747364</v>
      </c>
      <c r="C42" s="14">
        <f t="shared" si="3"/>
        <v>2.9389262614623664</v>
      </c>
      <c r="D42" s="14">
        <f t="shared" si="22"/>
        <v>0.54977871437821391</v>
      </c>
      <c r="E42" s="14">
        <f t="shared" si="4"/>
        <v>0.56967804150822809</v>
      </c>
      <c r="F42" s="14">
        <f t="shared" si="5"/>
        <v>5.0323486634946759</v>
      </c>
      <c r="G42" s="14">
        <f t="shared" si="23"/>
        <v>4.2907825915291964</v>
      </c>
      <c r="H42" s="14">
        <f t="shared" si="24"/>
        <v>2.6293949538261918</v>
      </c>
      <c r="I42" s="14">
        <f t="shared" si="25"/>
        <v>0.55293000330542585</v>
      </c>
      <c r="J42" s="14">
        <f t="shared" si="26"/>
        <v>5.0341811493987949</v>
      </c>
      <c r="K42" s="14">
        <f t="shared" si="27"/>
        <v>3.1945330805181915E-2</v>
      </c>
      <c r="L42" s="14">
        <f t="shared" si="28"/>
        <v>1.8371553437057042E-2</v>
      </c>
      <c r="M42" s="14">
        <f t="shared" si="29"/>
        <v>2.7008455224960288</v>
      </c>
      <c r="N42" s="14">
        <f t="shared" si="30"/>
        <v>1.6763819809137805E-2</v>
      </c>
      <c r="O42" s="14">
        <f t="shared" si="31"/>
        <v>0.74325929189834072</v>
      </c>
      <c r="P42" s="14">
        <f t="shared" si="32"/>
        <v>1.9759577840347453</v>
      </c>
      <c r="Q42" s="14">
        <f t="shared" si="33"/>
        <v>-1.1913485137420954</v>
      </c>
      <c r="R42" s="1">
        <f t="shared" si="34"/>
        <v>0.17013604602976251</v>
      </c>
      <c r="S42" s="1">
        <f t="shared" si="6"/>
        <v>-0.24465259111723192</v>
      </c>
      <c r="T42" s="1">
        <f t="shared" si="7"/>
        <v>1.6228538105326564</v>
      </c>
      <c r="U42" s="1">
        <f t="shared" si="8"/>
        <v>9.3802080635854477</v>
      </c>
      <c r="V42" s="1">
        <f t="shared" si="35"/>
        <v>0</v>
      </c>
      <c r="W42" s="1">
        <f t="shared" si="9"/>
        <v>1.6228538105326564</v>
      </c>
      <c r="X42" s="1">
        <f t="shared" si="10"/>
        <v>0.93695508436643904</v>
      </c>
      <c r="Z42" s="14">
        <f t="shared" si="36"/>
        <v>2.5918139392115767</v>
      </c>
      <c r="AA42" s="14">
        <f t="shared" si="11"/>
        <v>0.56967804150824086</v>
      </c>
      <c r="AB42" s="14">
        <f t="shared" si="12"/>
        <v>5.0323486634946768</v>
      </c>
      <c r="AC42" s="14">
        <f t="shared" si="37"/>
        <v>-4.2907825915291902</v>
      </c>
      <c r="AD42" s="14">
        <f t="shared" si="38"/>
        <v>2.6293949538262043</v>
      </c>
      <c r="AE42" s="14">
        <f t="shared" si="39"/>
        <v>2.5886626502843644</v>
      </c>
      <c r="AF42" s="14">
        <f t="shared" si="13"/>
        <v>5.0341811493987967</v>
      </c>
      <c r="AG42" s="14">
        <f t="shared" si="40"/>
        <v>3.1945330805182692E-2</v>
      </c>
      <c r="AH42" s="14">
        <f t="shared" si="14"/>
        <v>1.8371553437058201E-2</v>
      </c>
      <c r="AI42" s="14">
        <f t="shared" si="15"/>
        <v>2.7008455224960191</v>
      </c>
      <c r="AJ42" s="14">
        <f t="shared" si="16"/>
        <v>-1.676381980913897E-2</v>
      </c>
      <c r="AK42" s="14">
        <f t="shared" si="41"/>
        <v>0.74325929189834505</v>
      </c>
      <c r="AL42" s="14">
        <f t="shared" si="42"/>
        <v>1.975957784034732</v>
      </c>
      <c r="AM42" s="14">
        <f t="shared" si="43"/>
        <v>1.1874402887658089</v>
      </c>
      <c r="AN42" s="1">
        <f t="shared" si="17"/>
        <v>-0.17178773327573615</v>
      </c>
      <c r="AO42" s="1">
        <f t="shared" si="18"/>
        <v>-0.24111053638773794</v>
      </c>
      <c r="AP42" s="1">
        <f t="shared" si="19"/>
        <v>1.718494106667749</v>
      </c>
      <c r="AQ42" s="1">
        <f t="shared" si="20"/>
        <v>9.2999563263733123</v>
      </c>
      <c r="AR42" s="1">
        <f t="shared" si="44"/>
        <v>0</v>
      </c>
      <c r="AS42" s="1">
        <f t="shared" si="21"/>
        <v>1.718494106667749</v>
      </c>
      <c r="AT42" s="1">
        <f t="shared" si="45"/>
        <v>0.99217303508541033</v>
      </c>
    </row>
    <row r="43" spans="1:46" x14ac:dyDescent="0.25">
      <c r="A43" s="14">
        <f t="shared" si="46"/>
        <v>0.66322511575784537</v>
      </c>
      <c r="B43" s="14">
        <f t="shared" si="2"/>
        <v>3.9400537680336094</v>
      </c>
      <c r="C43" s="14">
        <f t="shared" si="3"/>
        <v>3.0783073766282918</v>
      </c>
      <c r="D43" s="14">
        <f t="shared" si="22"/>
        <v>0.55608129223263791</v>
      </c>
      <c r="E43" s="14">
        <f t="shared" si="4"/>
        <v>0.60162337231341001</v>
      </c>
      <c r="F43" s="14">
        <f t="shared" si="5"/>
        <v>5.0360649997903879</v>
      </c>
      <c r="G43" s="14">
        <f t="shared" si="23"/>
        <v>4.2772819113535787</v>
      </c>
      <c r="H43" s="14">
        <f t="shared" si="24"/>
        <v>2.6583472558943901</v>
      </c>
      <c r="I43" s="14">
        <f t="shared" si="25"/>
        <v>0.55923258115984997</v>
      </c>
      <c r="J43" s="14">
        <f t="shared" si="26"/>
        <v>5.0380003097919914</v>
      </c>
      <c r="K43" s="14">
        <f t="shared" si="27"/>
        <v>3.1993820062170553E-2</v>
      </c>
      <c r="L43" s="14">
        <f t="shared" si="28"/>
        <v>2.0274269611323115E-2</v>
      </c>
      <c r="M43" s="14">
        <f t="shared" si="29"/>
        <v>2.6824187269309823</v>
      </c>
      <c r="N43" s="14">
        <f t="shared" si="30"/>
        <v>1.8710731933616619E-2</v>
      </c>
      <c r="O43" s="14">
        <f t="shared" si="31"/>
        <v>0.75275448392575894</v>
      </c>
      <c r="P43" s="14">
        <f t="shared" si="32"/>
        <v>1.9499385126165463</v>
      </c>
      <c r="Q43" s="14">
        <f t="shared" si="33"/>
        <v>-1.1890294234209937</v>
      </c>
      <c r="R43" s="1">
        <f t="shared" si="34"/>
        <v>0.17972170242394359</v>
      </c>
      <c r="S43" s="1">
        <f t="shared" si="6"/>
        <v>-0.25354700075889502</v>
      </c>
      <c r="T43" s="1">
        <f t="shared" si="7"/>
        <v>1.7830023362576337</v>
      </c>
      <c r="U43" s="1">
        <f t="shared" si="8"/>
        <v>9.7819599416653862</v>
      </c>
      <c r="V43" s="1">
        <f t="shared" si="35"/>
        <v>0</v>
      </c>
      <c r="W43" s="1">
        <f t="shared" si="9"/>
        <v>1.7830023362576337</v>
      </c>
      <c r="X43" s="1">
        <f t="shared" si="10"/>
        <v>1.0294168788040765</v>
      </c>
      <c r="Z43" s="14">
        <f t="shared" si="36"/>
        <v>2.5855113613571525</v>
      </c>
      <c r="AA43" s="14">
        <f t="shared" si="11"/>
        <v>0.60162337231342355</v>
      </c>
      <c r="AB43" s="14">
        <f t="shared" si="12"/>
        <v>5.0360649997903897</v>
      </c>
      <c r="AC43" s="14">
        <f t="shared" si="37"/>
        <v>-4.2772819113535725</v>
      </c>
      <c r="AD43" s="14">
        <f t="shared" si="38"/>
        <v>2.6583472558944035</v>
      </c>
      <c r="AE43" s="14">
        <f t="shared" si="39"/>
        <v>2.5823600724299407</v>
      </c>
      <c r="AF43" s="14">
        <f t="shared" si="13"/>
        <v>5.0380003097919932</v>
      </c>
      <c r="AG43" s="14">
        <f t="shared" si="40"/>
        <v>3.1993820062171108E-2</v>
      </c>
      <c r="AH43" s="14">
        <f t="shared" si="14"/>
        <v>2.027426961132427E-2</v>
      </c>
      <c r="AI43" s="14">
        <f t="shared" si="15"/>
        <v>2.6824187269309743</v>
      </c>
      <c r="AJ43" s="14">
        <f t="shared" si="16"/>
        <v>-1.8710731933617789E-2</v>
      </c>
      <c r="AK43" s="14">
        <f t="shared" si="41"/>
        <v>0.75275448392576227</v>
      </c>
      <c r="AL43" s="14">
        <f t="shared" si="42"/>
        <v>1.9499385126165361</v>
      </c>
      <c r="AM43" s="14">
        <f t="shared" si="43"/>
        <v>1.1852331600990544</v>
      </c>
      <c r="AN43" s="1">
        <f t="shared" si="17"/>
        <v>-0.18132607263017453</v>
      </c>
      <c r="AO43" s="1">
        <f t="shared" si="18"/>
        <v>-0.250106417748584</v>
      </c>
      <c r="AP43" s="1">
        <f t="shared" si="19"/>
        <v>1.8760437698572192</v>
      </c>
      <c r="AQ43" s="1">
        <f t="shared" si="20"/>
        <v>9.7038889090481497</v>
      </c>
      <c r="AR43" s="1">
        <f t="shared" si="44"/>
        <v>0</v>
      </c>
      <c r="AS43" s="1">
        <f t="shared" si="21"/>
        <v>1.8760437698572192</v>
      </c>
      <c r="AT43" s="1">
        <f t="shared" si="45"/>
        <v>1.0831343755385858</v>
      </c>
    </row>
    <row r="44" spans="1:46" x14ac:dyDescent="0.25">
      <c r="A44" s="14">
        <f t="shared" si="46"/>
        <v>0.69813170079773201</v>
      </c>
      <c r="B44" s="14">
        <f t="shared" si="2"/>
        <v>3.8302222155948895</v>
      </c>
      <c r="C44" s="14">
        <f t="shared" si="3"/>
        <v>3.2139380484326976</v>
      </c>
      <c r="D44" s="14">
        <f t="shared" si="22"/>
        <v>0.56238387008706192</v>
      </c>
      <c r="E44" s="14">
        <f t="shared" si="4"/>
        <v>0.63361719237558056</v>
      </c>
      <c r="F44" s="14">
        <f t="shared" si="5"/>
        <v>5.0399871772132432</v>
      </c>
      <c r="G44" s="14">
        <f t="shared" si="23"/>
        <v>4.2637607387324596</v>
      </c>
      <c r="H44" s="14">
        <f t="shared" si="24"/>
        <v>2.6873435041537852</v>
      </c>
      <c r="I44" s="14">
        <f t="shared" si="25"/>
        <v>0.56553515901427387</v>
      </c>
      <c r="J44" s="14">
        <f t="shared" si="26"/>
        <v>5.0420257025630422</v>
      </c>
      <c r="K44" s="14">
        <f t="shared" si="27"/>
        <v>3.2044967516004164E-2</v>
      </c>
      <c r="L44" s="14">
        <f t="shared" si="28"/>
        <v>2.2254290102357195E-2</v>
      </c>
      <c r="M44" s="14">
        <f t="shared" si="29"/>
        <v>2.6638204026310484</v>
      </c>
      <c r="N44" s="14">
        <f t="shared" si="30"/>
        <v>2.0768182479177992E-2</v>
      </c>
      <c r="O44" s="14">
        <f t="shared" si="31"/>
        <v>0.76199868259470971</v>
      </c>
      <c r="P44" s="14">
        <f t="shared" si="32"/>
        <v>1.9240760101386958</v>
      </c>
      <c r="Q44" s="14">
        <f t="shared" si="33"/>
        <v>-1.1862939223988849</v>
      </c>
      <c r="R44" s="1">
        <f t="shared" si="34"/>
        <v>0.18925586434948105</v>
      </c>
      <c r="S44" s="1">
        <f t="shared" si="6"/>
        <v>-0.26199776072256464</v>
      </c>
      <c r="T44" s="1">
        <f t="shared" si="7"/>
        <v>1.9483027934914117</v>
      </c>
      <c r="U44" s="1">
        <f t="shared" si="8"/>
        <v>10.172149244898296</v>
      </c>
      <c r="V44" s="1">
        <f t="shared" si="35"/>
        <v>0</v>
      </c>
      <c r="W44" s="1">
        <f t="shared" si="9"/>
        <v>1.9483027934914117</v>
      </c>
      <c r="X44" s="1">
        <f t="shared" si="10"/>
        <v>1.1248531422851664</v>
      </c>
      <c r="Z44" s="14">
        <f t="shared" si="36"/>
        <v>2.5792087835027284</v>
      </c>
      <c r="AA44" s="14">
        <f t="shared" si="11"/>
        <v>0.63361719237559466</v>
      </c>
      <c r="AB44" s="14">
        <f t="shared" si="12"/>
        <v>5.039987177213245</v>
      </c>
      <c r="AC44" s="14">
        <f t="shared" si="37"/>
        <v>-4.2637607387324534</v>
      </c>
      <c r="AD44" s="14">
        <f t="shared" si="38"/>
        <v>2.6873435041537981</v>
      </c>
      <c r="AE44" s="14">
        <f t="shared" si="39"/>
        <v>2.5760574945755161</v>
      </c>
      <c r="AF44" s="14">
        <f t="shared" si="13"/>
        <v>5.0420257025630448</v>
      </c>
      <c r="AG44" s="14">
        <f t="shared" si="40"/>
        <v>3.2044967516004719E-2</v>
      </c>
      <c r="AH44" s="14">
        <f t="shared" si="14"/>
        <v>2.2254290102358625E-2</v>
      </c>
      <c r="AI44" s="14">
        <f t="shared" si="15"/>
        <v>2.6638204026310381</v>
      </c>
      <c r="AJ44" s="14">
        <f t="shared" si="16"/>
        <v>-2.0768182479179463E-2</v>
      </c>
      <c r="AK44" s="14">
        <f t="shared" si="41"/>
        <v>0.76199868259471426</v>
      </c>
      <c r="AL44" s="14">
        <f t="shared" si="42"/>
        <v>1.9240760101386827</v>
      </c>
      <c r="AM44" s="14">
        <f t="shared" si="43"/>
        <v>1.1826083440333877</v>
      </c>
      <c r="AN44" s="1">
        <f t="shared" si="17"/>
        <v>-0.19081345707182068</v>
      </c>
      <c r="AO44" s="1">
        <f t="shared" si="18"/>
        <v>-0.25865749235018609</v>
      </c>
      <c r="AP44" s="1">
        <f t="shared" si="19"/>
        <v>2.0387758894862729</v>
      </c>
      <c r="AQ44" s="1">
        <f t="shared" si="20"/>
        <v>10.096233303417995</v>
      </c>
      <c r="AR44" s="1">
        <f t="shared" si="44"/>
        <v>0</v>
      </c>
      <c r="AS44" s="1">
        <f t="shared" si="21"/>
        <v>2.0387758894862729</v>
      </c>
      <c r="AT44" s="1">
        <f t="shared" si="45"/>
        <v>1.1770878086122183</v>
      </c>
    </row>
    <row r="45" spans="1:46" x14ac:dyDescent="0.25">
      <c r="A45" s="14">
        <f t="shared" si="46"/>
        <v>0.73303828583761865</v>
      </c>
      <c r="B45" s="14">
        <f t="shared" si="2"/>
        <v>3.7157241273869706</v>
      </c>
      <c r="C45" s="14">
        <f t="shared" si="3"/>
        <v>3.3456530317942916</v>
      </c>
      <c r="D45" s="14">
        <f t="shared" si="22"/>
        <v>0.56868644794148593</v>
      </c>
      <c r="E45" s="14">
        <f t="shared" si="4"/>
        <v>0.66566215989158473</v>
      </c>
      <c r="F45" s="14">
        <f t="shared" si="5"/>
        <v>5.0441159890620604</v>
      </c>
      <c r="G45" s="14">
        <f t="shared" si="23"/>
        <v>4.2502179502633082</v>
      </c>
      <c r="H45" s="14">
        <f t="shared" si="24"/>
        <v>2.7163861077488756</v>
      </c>
      <c r="I45" s="14">
        <f t="shared" si="25"/>
        <v>0.57183773686869799</v>
      </c>
      <c r="J45" s="14">
        <f t="shared" si="26"/>
        <v>5.0462581426556072</v>
      </c>
      <c r="K45" s="14">
        <f t="shared" si="27"/>
        <v>3.2098789813320594E-2</v>
      </c>
      <c r="L45" s="14">
        <f t="shared" si="28"/>
        <v>2.4309183470754548E-2</v>
      </c>
      <c r="M45" s="14">
        <f t="shared" si="29"/>
        <v>2.6450597482088183</v>
      </c>
      <c r="N45" s="14">
        <f t="shared" si="30"/>
        <v>2.2935863777209822E-2</v>
      </c>
      <c r="O45" s="14">
        <f t="shared" si="31"/>
        <v>0.77098348555936835</v>
      </c>
      <c r="P45" s="14">
        <f t="shared" si="32"/>
        <v>1.8983854461202043</v>
      </c>
      <c r="Q45" s="14">
        <f t="shared" si="33"/>
        <v>-1.1831528385300956</v>
      </c>
      <c r="R45" s="1">
        <f t="shared" si="34"/>
        <v>0.19872634064595063</v>
      </c>
      <c r="S45" s="1">
        <f t="shared" si="6"/>
        <v>-0.27000827346117873</v>
      </c>
      <c r="T45" s="1">
        <f t="shared" si="7"/>
        <v>2.1184175024218952</v>
      </c>
      <c r="U45" s="1">
        <f t="shared" si="8"/>
        <v>10.550743220984701</v>
      </c>
      <c r="V45" s="1">
        <f t="shared" si="35"/>
        <v>0</v>
      </c>
      <c r="W45" s="1">
        <f t="shared" si="9"/>
        <v>2.1184175024218952</v>
      </c>
      <c r="X45" s="1">
        <f t="shared" si="10"/>
        <v>1.2230689152792957</v>
      </c>
      <c r="Z45" s="14">
        <f t="shared" si="36"/>
        <v>2.5729062056483043</v>
      </c>
      <c r="AA45" s="14">
        <f t="shared" si="11"/>
        <v>0.66566215989159938</v>
      </c>
      <c r="AB45" s="14">
        <f t="shared" si="12"/>
        <v>5.0441159890620622</v>
      </c>
      <c r="AC45" s="14">
        <f t="shared" si="37"/>
        <v>-4.250217950263302</v>
      </c>
      <c r="AD45" s="14">
        <f t="shared" si="38"/>
        <v>2.7163861077488893</v>
      </c>
      <c r="AE45" s="14">
        <f t="shared" si="39"/>
        <v>2.5697549167210925</v>
      </c>
      <c r="AF45" s="14">
        <f t="shared" si="13"/>
        <v>5.046258142655609</v>
      </c>
      <c r="AG45" s="14">
        <f t="shared" si="40"/>
        <v>3.209878981332126E-2</v>
      </c>
      <c r="AH45" s="14">
        <f t="shared" si="14"/>
        <v>2.4309183470755377E-2</v>
      </c>
      <c r="AI45" s="14">
        <f t="shared" si="15"/>
        <v>2.6450597482088098</v>
      </c>
      <c r="AJ45" s="14">
        <f t="shared" si="16"/>
        <v>-2.2935863777210585E-2</v>
      </c>
      <c r="AK45" s="14">
        <f t="shared" si="41"/>
        <v>0.77098348555937246</v>
      </c>
      <c r="AL45" s="14">
        <f t="shared" si="42"/>
        <v>1.898385446120193</v>
      </c>
      <c r="AM45" s="14">
        <f t="shared" si="43"/>
        <v>1.1795765939268219</v>
      </c>
      <c r="AN45" s="1">
        <f t="shared" si="17"/>
        <v>-0.20023772692374942</v>
      </c>
      <c r="AO45" s="1">
        <f t="shared" si="18"/>
        <v>-0.26676709512888863</v>
      </c>
      <c r="AP45" s="1">
        <f t="shared" si="19"/>
        <v>2.2063541370490385</v>
      </c>
      <c r="AQ45" s="1">
        <f t="shared" si="20"/>
        <v>10.476955623302572</v>
      </c>
      <c r="AR45" s="1">
        <f t="shared" si="44"/>
        <v>0</v>
      </c>
      <c r="AS45" s="1">
        <f t="shared" si="21"/>
        <v>2.2063541370490385</v>
      </c>
      <c r="AT45" s="1">
        <f t="shared" si="45"/>
        <v>1.2738391549529067</v>
      </c>
    </row>
    <row r="46" spans="1:46" x14ac:dyDescent="0.25">
      <c r="A46" s="14">
        <f t="shared" si="46"/>
        <v>0.76794487087750529</v>
      </c>
      <c r="B46" s="14">
        <f t="shared" si="2"/>
        <v>3.596699001693255</v>
      </c>
      <c r="C46" s="14">
        <f t="shared" si="3"/>
        <v>3.4732918522949872</v>
      </c>
      <c r="D46" s="14">
        <f t="shared" si="22"/>
        <v>0.57498902579590994</v>
      </c>
      <c r="E46" s="14">
        <f t="shared" si="4"/>
        <v>0.69776094970490532</v>
      </c>
      <c r="F46" s="14">
        <f t="shared" si="5"/>
        <v>5.0484522720268528</v>
      </c>
      <c r="G46" s="14">
        <f t="shared" si="23"/>
        <v>4.2366524155084235</v>
      </c>
      <c r="H46" s="14">
        <f t="shared" si="24"/>
        <v>2.7454774909111412</v>
      </c>
      <c r="I46" s="14">
        <f t="shared" si="25"/>
        <v>0.57814031472312188</v>
      </c>
      <c r="J46" s="14">
        <f t="shared" si="26"/>
        <v>5.0506984886104176</v>
      </c>
      <c r="K46" s="14">
        <f t="shared" si="27"/>
        <v>3.2155304514057015E-2</v>
      </c>
      <c r="L46" s="14">
        <f t="shared" si="28"/>
        <v>2.6436520344253155E-2</v>
      </c>
      <c r="M46" s="14">
        <f t="shared" si="29"/>
        <v>2.6261459932241689</v>
      </c>
      <c r="N46" s="14">
        <f t="shared" si="30"/>
        <v>2.5213305670853552E-2</v>
      </c>
      <c r="O46" s="14">
        <f t="shared" si="31"/>
        <v>0.77970103627873732</v>
      </c>
      <c r="P46" s="14">
        <f t="shared" si="32"/>
        <v>1.8728814772896849</v>
      </c>
      <c r="Q46" s="14">
        <f t="shared" si="33"/>
        <v>-1.1796173860519443</v>
      </c>
      <c r="R46" s="1">
        <f t="shared" si="34"/>
        <v>0.20812127152758481</v>
      </c>
      <c r="S46" s="1">
        <f t="shared" si="6"/>
        <v>-0.27758250832417541</v>
      </c>
      <c r="T46" s="1">
        <f t="shared" si="7"/>
        <v>2.2930105813145953</v>
      </c>
      <c r="U46" s="1">
        <f t="shared" si="8"/>
        <v>10.917723945990655</v>
      </c>
      <c r="V46" s="1">
        <f t="shared" si="35"/>
        <v>0</v>
      </c>
      <c r="W46" s="1">
        <f t="shared" si="9"/>
        <v>2.2930105813145953</v>
      </c>
      <c r="X46" s="1">
        <f t="shared" si="10"/>
        <v>1.3238702763766419</v>
      </c>
      <c r="Z46" s="14">
        <f t="shared" si="36"/>
        <v>2.5666036277938802</v>
      </c>
      <c r="AA46" s="14">
        <f t="shared" si="11"/>
        <v>0.69776094970492064</v>
      </c>
      <c r="AB46" s="14">
        <f t="shared" si="12"/>
        <v>5.0484522720268545</v>
      </c>
      <c r="AC46" s="14">
        <f t="shared" si="37"/>
        <v>-4.2366524155084155</v>
      </c>
      <c r="AD46" s="14">
        <f t="shared" si="38"/>
        <v>2.745477490911155</v>
      </c>
      <c r="AE46" s="14">
        <f t="shared" si="39"/>
        <v>2.5634523388666679</v>
      </c>
      <c r="AF46" s="14">
        <f t="shared" si="13"/>
        <v>5.0506984886104203</v>
      </c>
      <c r="AG46" s="14">
        <f t="shared" si="40"/>
        <v>3.215530451405757E-2</v>
      </c>
      <c r="AH46" s="14">
        <f t="shared" si="14"/>
        <v>2.6436520344254255E-2</v>
      </c>
      <c r="AI46" s="14">
        <f t="shared" si="15"/>
        <v>2.6261459932241582</v>
      </c>
      <c r="AJ46" s="14">
        <f t="shared" si="16"/>
        <v>-2.5213305670854769E-2</v>
      </c>
      <c r="AK46" s="14">
        <f t="shared" si="41"/>
        <v>0.77970103627874221</v>
      </c>
      <c r="AL46" s="14">
        <f t="shared" si="42"/>
        <v>1.8728814772896705</v>
      </c>
      <c r="AM46" s="14">
        <f t="shared" si="43"/>
        <v>1.1761490528485941</v>
      </c>
      <c r="AN46" s="1">
        <f t="shared" si="17"/>
        <v>-0.20958705247712661</v>
      </c>
      <c r="AO46" s="1">
        <f t="shared" si="18"/>
        <v>-0.27443913093394712</v>
      </c>
      <c r="AP46" s="1">
        <f t="shared" si="19"/>
        <v>2.3784439255447354</v>
      </c>
      <c r="AQ46" s="1">
        <f t="shared" si="20"/>
        <v>10.846036858357394</v>
      </c>
      <c r="AR46" s="1">
        <f t="shared" si="44"/>
        <v>0</v>
      </c>
      <c r="AS46" s="1">
        <f t="shared" si="21"/>
        <v>2.3784439255447354</v>
      </c>
      <c r="AT46" s="1">
        <f t="shared" si="45"/>
        <v>1.3731952406656831</v>
      </c>
    </row>
    <row r="47" spans="1:46" x14ac:dyDescent="0.25">
      <c r="A47" s="14">
        <f t="shared" si="46"/>
        <v>0.80285145591739193</v>
      </c>
      <c r="B47" s="14">
        <f t="shared" si="2"/>
        <v>3.4732918522949854</v>
      </c>
      <c r="C47" s="14">
        <f t="shared" si="3"/>
        <v>3.5966990016932572</v>
      </c>
      <c r="D47" s="14">
        <f t="shared" si="22"/>
        <v>0.58129160365033394</v>
      </c>
      <c r="E47" s="14">
        <f t="shared" si="4"/>
        <v>0.72991625421896233</v>
      </c>
      <c r="F47" s="14">
        <f t="shared" si="5"/>
        <v>5.0529969066063201</v>
      </c>
      <c r="G47" s="14">
        <f t="shared" si="23"/>
        <v>4.2230629966089488</v>
      </c>
      <c r="H47" s="14">
        <f t="shared" si="24"/>
        <v>2.7746200937867656</v>
      </c>
      <c r="I47" s="14">
        <f t="shared" si="25"/>
        <v>0.584442892577546</v>
      </c>
      <c r="J47" s="14">
        <f t="shared" si="26"/>
        <v>5.0553476429942945</v>
      </c>
      <c r="K47" s="14">
        <f t="shared" si="27"/>
        <v>3.2214530103737871E-2</v>
      </c>
      <c r="L47" s="14">
        <f t="shared" si="28"/>
        <v>2.863387763378146E-2</v>
      </c>
      <c r="M47" s="14">
        <f t="shared" si="29"/>
        <v>2.6070883902529491</v>
      </c>
      <c r="N47" s="14">
        <f t="shared" si="30"/>
        <v>2.759987590972773E-2</v>
      </c>
      <c r="O47" s="14">
        <f t="shared" si="31"/>
        <v>0.78814403621766926</v>
      </c>
      <c r="P47" s="14">
        <f t="shared" si="32"/>
        <v>1.847578231669061</v>
      </c>
      <c r="Q47" s="14">
        <f t="shared" si="33"/>
        <v>-1.1756991400604304</v>
      </c>
      <c r="R47" s="1">
        <f t="shared" si="34"/>
        <v>0.21742915042819488</v>
      </c>
      <c r="S47" s="1">
        <f t="shared" si="6"/>
        <v>-0.28472498515112721</v>
      </c>
      <c r="T47" s="1">
        <f t="shared" si="7"/>
        <v>2.4717485366156797</v>
      </c>
      <c r="U47" s="1">
        <f t="shared" si="8"/>
        <v>11.273088261602659</v>
      </c>
      <c r="V47" s="1">
        <f t="shared" si="35"/>
        <v>0</v>
      </c>
      <c r="W47" s="1">
        <f t="shared" si="9"/>
        <v>2.4717485366156797</v>
      </c>
      <c r="X47" s="1">
        <f t="shared" si="10"/>
        <v>1.4270646829841263</v>
      </c>
      <c r="Z47" s="14">
        <f t="shared" si="36"/>
        <v>2.5603010499394561</v>
      </c>
      <c r="AA47" s="14">
        <f t="shared" si="11"/>
        <v>0.72991625421897821</v>
      </c>
      <c r="AB47" s="14">
        <f t="shared" si="12"/>
        <v>5.0529969066063227</v>
      </c>
      <c r="AC47" s="14">
        <f t="shared" si="37"/>
        <v>-4.2230629966089426</v>
      </c>
      <c r="AD47" s="14">
        <f t="shared" si="38"/>
        <v>2.7746200937867807</v>
      </c>
      <c r="AE47" s="14">
        <f t="shared" si="39"/>
        <v>2.5571497610122442</v>
      </c>
      <c r="AF47" s="14">
        <f t="shared" si="13"/>
        <v>5.0553476429942963</v>
      </c>
      <c r="AG47" s="14">
        <f t="shared" si="40"/>
        <v>3.2214530103738426E-2</v>
      </c>
      <c r="AH47" s="14">
        <f t="shared" si="14"/>
        <v>2.8633877633782199E-2</v>
      </c>
      <c r="AI47" s="14">
        <f t="shared" si="15"/>
        <v>2.6070883902529403</v>
      </c>
      <c r="AJ47" s="14">
        <f t="shared" si="16"/>
        <v>-2.7599875909728372E-2</v>
      </c>
      <c r="AK47" s="14">
        <f t="shared" si="41"/>
        <v>0.78814403621767382</v>
      </c>
      <c r="AL47" s="14">
        <f t="shared" si="42"/>
        <v>1.8475782316690488</v>
      </c>
      <c r="AM47" s="14">
        <f t="shared" si="43"/>
        <v>1.1723372281439879</v>
      </c>
      <c r="AN47" s="1">
        <f t="shared" si="17"/>
        <v>-0.21884995579845123</v>
      </c>
      <c r="AO47" s="1">
        <f t="shared" si="18"/>
        <v>-0.28167805820192904</v>
      </c>
      <c r="AP47" s="1">
        <f t="shared" si="19"/>
        <v>2.5547129979937626</v>
      </c>
      <c r="AQ47" s="1">
        <f t="shared" si="20"/>
        <v>11.203472812659962</v>
      </c>
      <c r="AR47" s="1">
        <f t="shared" si="44"/>
        <v>0</v>
      </c>
      <c r="AS47" s="1">
        <f t="shared" si="21"/>
        <v>2.5547129979937626</v>
      </c>
      <c r="AT47" s="1">
        <f t="shared" si="45"/>
        <v>1.4749642370939346</v>
      </c>
    </row>
    <row r="48" spans="1:46" x14ac:dyDescent="0.25">
      <c r="A48" s="14">
        <f t="shared" si="46"/>
        <v>0.83775804095727857</v>
      </c>
      <c r="B48" s="14">
        <f t="shared" si="2"/>
        <v>3.3456530317942894</v>
      </c>
      <c r="C48" s="14">
        <f t="shared" si="3"/>
        <v>3.7157241273869723</v>
      </c>
      <c r="D48" s="14">
        <f t="shared" si="22"/>
        <v>0.58759418150475795</v>
      </c>
      <c r="E48" s="14">
        <f t="shared" si="4"/>
        <v>0.76213078432270021</v>
      </c>
      <c r="F48" s="14">
        <f t="shared" si="5"/>
        <v>5.0577508175484818</v>
      </c>
      <c r="G48" s="14">
        <f t="shared" si="23"/>
        <v>4.2094485478937145</v>
      </c>
      <c r="H48" s="14">
        <f t="shared" si="24"/>
        <v>2.8038163732755104</v>
      </c>
      <c r="I48" s="14">
        <f t="shared" si="25"/>
        <v>0.5907454704319699</v>
      </c>
      <c r="J48" s="14">
        <f t="shared" si="26"/>
        <v>5.0602065528524918</v>
      </c>
      <c r="K48" s="14">
        <f t="shared" si="27"/>
        <v>3.2276486006449279E-2</v>
      </c>
      <c r="L48" s="14">
        <f t="shared" si="28"/>
        <v>3.0898842726333888E-2</v>
      </c>
      <c r="M48" s="14">
        <f t="shared" si="29"/>
        <v>2.587896206963717</v>
      </c>
      <c r="N48" s="14">
        <f t="shared" si="30"/>
        <v>3.0094780756434222E-2</v>
      </c>
      <c r="O48" s="14">
        <f t="shared" si="31"/>
        <v>0.79630575580517315</v>
      </c>
      <c r="P48" s="14">
        <f t="shared" si="32"/>
        <v>1.8224892938848778</v>
      </c>
      <c r="Q48" s="14">
        <f t="shared" si="33"/>
        <v>-1.1714100104368086</v>
      </c>
      <c r="R48" s="1">
        <f t="shared" si="34"/>
        <v>0.22663884495187475</v>
      </c>
      <c r="S48" s="1">
        <f t="shared" si="6"/>
        <v>-0.29144075684890125</v>
      </c>
      <c r="T48" s="1">
        <f t="shared" si="7"/>
        <v>2.6543008507375778</v>
      </c>
      <c r="U48" s="1">
        <f t="shared" si="8"/>
        <v>11.61684768950613</v>
      </c>
      <c r="V48" s="1">
        <f t="shared" si="35"/>
        <v>0</v>
      </c>
      <c r="W48" s="1">
        <f t="shared" si="9"/>
        <v>2.6543008507375778</v>
      </c>
      <c r="X48" s="1">
        <f t="shared" si="10"/>
        <v>1.5324613106835931</v>
      </c>
      <c r="Z48" s="14">
        <f t="shared" si="36"/>
        <v>2.5539984720850319</v>
      </c>
      <c r="AA48" s="14">
        <f t="shared" si="11"/>
        <v>0.76213078432271664</v>
      </c>
      <c r="AB48" s="14">
        <f t="shared" si="12"/>
        <v>5.0577508175484835</v>
      </c>
      <c r="AC48" s="14">
        <f t="shared" si="37"/>
        <v>-4.2094485478937065</v>
      </c>
      <c r="AD48" s="14">
        <f t="shared" si="38"/>
        <v>2.803816373275525</v>
      </c>
      <c r="AE48" s="14">
        <f t="shared" si="39"/>
        <v>2.5508471831578197</v>
      </c>
      <c r="AF48" s="14">
        <f t="shared" si="13"/>
        <v>5.0602065528524953</v>
      </c>
      <c r="AG48" s="14">
        <f t="shared" si="40"/>
        <v>3.2276486006449834E-2</v>
      </c>
      <c r="AH48" s="14">
        <f t="shared" si="14"/>
        <v>3.0898842726335592E-2</v>
      </c>
      <c r="AI48" s="14">
        <f t="shared" si="15"/>
        <v>2.587896206963705</v>
      </c>
      <c r="AJ48" s="14">
        <f t="shared" si="16"/>
        <v>-3.0094780756435895E-2</v>
      </c>
      <c r="AK48" s="14">
        <f t="shared" si="41"/>
        <v>0.79630575580517782</v>
      </c>
      <c r="AL48" s="14">
        <f t="shared" si="42"/>
        <v>1.8224892938848634</v>
      </c>
      <c r="AM48" s="14">
        <f t="shared" si="43"/>
        <v>1.1681529654422276</v>
      </c>
      <c r="AN48" s="1">
        <f t="shared" si="17"/>
        <v>-0.22801533164589999</v>
      </c>
      <c r="AO48" s="1">
        <f t="shared" si="18"/>
        <v>-0.28848887160758974</v>
      </c>
      <c r="AP48" s="1">
        <f t="shared" si="19"/>
        <v>2.7348320137310478</v>
      </c>
      <c r="AQ48" s="1">
        <f t="shared" si="20"/>
        <v>11.549274020340535</v>
      </c>
      <c r="AR48" s="1">
        <f t="shared" si="44"/>
        <v>0</v>
      </c>
      <c r="AS48" s="1">
        <f t="shared" si="21"/>
        <v>2.7348320137310478</v>
      </c>
      <c r="AT48" s="1">
        <f t="shared" si="45"/>
        <v>1.5789559993160267</v>
      </c>
    </row>
    <row r="49" spans="1:46" x14ac:dyDescent="0.25">
      <c r="A49" s="14">
        <f t="shared" si="46"/>
        <v>0.87266462599716521</v>
      </c>
      <c r="B49" s="14">
        <f t="shared" si="2"/>
        <v>3.2139380484326949</v>
      </c>
      <c r="C49" s="14">
        <f t="shared" si="3"/>
        <v>3.8302222155948917</v>
      </c>
      <c r="D49" s="14">
        <f t="shared" si="22"/>
        <v>0.59389675935918196</v>
      </c>
      <c r="E49" s="14">
        <f t="shared" si="4"/>
        <v>0.79440727032914948</v>
      </c>
      <c r="F49" s="14">
        <f t="shared" si="5"/>
        <v>5.0627149743148498</v>
      </c>
      <c r="G49" s="14">
        <f t="shared" si="23"/>
        <v>4.1958079154825709</v>
      </c>
      <c r="H49" s="14">
        <f t="shared" si="24"/>
        <v>2.8330688038813343</v>
      </c>
      <c r="I49" s="14">
        <f t="shared" si="25"/>
        <v>0.59704804828639402</v>
      </c>
      <c r="J49" s="14">
        <f t="shared" si="26"/>
        <v>5.0652762101848152</v>
      </c>
      <c r="K49" s="14">
        <f t="shared" si="27"/>
        <v>3.2341192598524748E-2</v>
      </c>
      <c r="L49" s="14">
        <f t="shared" si="28"/>
        <v>3.3229017648047948E-2</v>
      </c>
      <c r="M49" s="14">
        <f t="shared" si="29"/>
        <v>2.5685787182114099</v>
      </c>
      <c r="N49" s="14">
        <f t="shared" si="30"/>
        <v>3.2697065803963296E-2</v>
      </c>
      <c r="O49" s="14">
        <f t="shared" si="31"/>
        <v>0.80418004412868216</v>
      </c>
      <c r="P49" s="14">
        <f t="shared" si="32"/>
        <v>1.7976276917307761</v>
      </c>
      <c r="Q49" s="14">
        <f t="shared" si="33"/>
        <v>-1.1667622152852473</v>
      </c>
      <c r="R49" s="1">
        <f t="shared" si="34"/>
        <v>0.2357396168847225</v>
      </c>
      <c r="S49" s="1">
        <f t="shared" si="6"/>
        <v>-0.29773539099694535</v>
      </c>
      <c r="T49" s="1">
        <f t="shared" si="7"/>
        <v>2.8403405666705108</v>
      </c>
      <c r="U49" s="1">
        <f t="shared" si="8"/>
        <v>11.949028323011897</v>
      </c>
      <c r="V49" s="1">
        <f t="shared" si="35"/>
        <v>0</v>
      </c>
      <c r="W49" s="1">
        <f t="shared" si="9"/>
        <v>2.8403405666705108</v>
      </c>
      <c r="X49" s="1">
        <f t="shared" si="10"/>
        <v>1.6398713907574336</v>
      </c>
      <c r="Z49" s="14">
        <f t="shared" si="36"/>
        <v>2.5476958942306078</v>
      </c>
      <c r="AA49" s="14">
        <f t="shared" si="11"/>
        <v>0.79440727032916647</v>
      </c>
      <c r="AB49" s="14">
        <f t="shared" si="12"/>
        <v>5.0627149743148525</v>
      </c>
      <c r="AC49" s="14">
        <f t="shared" si="37"/>
        <v>-4.1958079154825629</v>
      </c>
      <c r="AD49" s="14">
        <f t="shared" si="38"/>
        <v>2.8330688038813499</v>
      </c>
      <c r="AE49" s="14">
        <f t="shared" si="39"/>
        <v>2.544544605303396</v>
      </c>
      <c r="AF49" s="14">
        <f t="shared" si="13"/>
        <v>5.065276210184817</v>
      </c>
      <c r="AG49" s="14">
        <f t="shared" si="40"/>
        <v>3.2341192598525415E-2</v>
      </c>
      <c r="AH49" s="14">
        <f t="shared" si="14"/>
        <v>3.3229017648048711E-2</v>
      </c>
      <c r="AI49" s="14">
        <f t="shared" si="15"/>
        <v>2.5685787182114006</v>
      </c>
      <c r="AJ49" s="14">
        <f t="shared" si="16"/>
        <v>-3.2697065803964254E-2</v>
      </c>
      <c r="AK49" s="14">
        <f t="shared" si="41"/>
        <v>0.80418004412868627</v>
      </c>
      <c r="AL49" s="14">
        <f t="shared" si="42"/>
        <v>1.797627691730763</v>
      </c>
      <c r="AM49" s="14">
        <f t="shared" si="43"/>
        <v>1.1636084221675771</v>
      </c>
      <c r="AN49" s="1">
        <f t="shared" si="17"/>
        <v>-0.23707246745000565</v>
      </c>
      <c r="AO49" s="1">
        <f t="shared" si="18"/>
        <v>-0.29487708373570365</v>
      </c>
      <c r="AP49" s="1">
        <f t="shared" si="19"/>
        <v>2.9184751316205526</v>
      </c>
      <c r="AQ49" s="1">
        <f t="shared" si="20"/>
        <v>11.883465638380645</v>
      </c>
      <c r="AR49" s="1">
        <f t="shared" si="44"/>
        <v>0</v>
      </c>
      <c r="AS49" s="1">
        <f t="shared" si="21"/>
        <v>2.9184751316205526</v>
      </c>
      <c r="AT49" s="1">
        <f t="shared" si="45"/>
        <v>1.6849824028643545</v>
      </c>
    </row>
    <row r="50" spans="1:46" x14ac:dyDescent="0.25">
      <c r="A50" s="14">
        <f t="shared" si="46"/>
        <v>0.90757121103705185</v>
      </c>
      <c r="B50" s="14">
        <f t="shared" si="2"/>
        <v>3.07830737662829</v>
      </c>
      <c r="C50" s="14">
        <f t="shared" si="3"/>
        <v>3.9400537680336112</v>
      </c>
      <c r="D50" s="14">
        <f t="shared" si="22"/>
        <v>0.60019933721360597</v>
      </c>
      <c r="E50" s="14">
        <f t="shared" si="4"/>
        <v>0.82674846292767423</v>
      </c>
      <c r="F50" s="14">
        <f t="shared" si="5"/>
        <v>5.0678903915685929</v>
      </c>
      <c r="G50" s="14">
        <f t="shared" si="23"/>
        <v>4.18213993688396</v>
      </c>
      <c r="H50" s="14">
        <f t="shared" si="24"/>
        <v>2.8623798785754295</v>
      </c>
      <c r="I50" s="14">
        <f t="shared" si="25"/>
        <v>0.60335062614081791</v>
      </c>
      <c r="J50" s="14">
        <f t="shared" si="26"/>
        <v>5.0705576524459399</v>
      </c>
      <c r="K50" s="14">
        <f t="shared" si="27"/>
        <v>3.2408671222953989E-2</v>
      </c>
      <c r="L50" s="14">
        <f t="shared" si="28"/>
        <v>3.5622023190878725E-2</v>
      </c>
      <c r="M50" s="14">
        <f t="shared" si="29"/>
        <v>2.5491451981568516</v>
      </c>
      <c r="N50" s="14">
        <f t="shared" si="30"/>
        <v>3.5405617002805187E-2</v>
      </c>
      <c r="O50" s="14">
        <f t="shared" si="31"/>
        <v>0.81176133734589973</v>
      </c>
      <c r="P50" s="14">
        <f t="shared" si="32"/>
        <v>1.7730058840018306</v>
      </c>
      <c r="Q50" s="14">
        <f t="shared" si="33"/>
        <v>-1.1617682539427405</v>
      </c>
      <c r="R50" s="1">
        <f t="shared" si="34"/>
        <v>0.24472114122506539</v>
      </c>
      <c r="S50" s="1">
        <f t="shared" si="6"/>
        <v>-0.30361495052739218</v>
      </c>
      <c r="T50" s="1">
        <f t="shared" si="7"/>
        <v>3.029544868567787</v>
      </c>
      <c r="U50" s="1">
        <f t="shared" si="8"/>
        <v>12.269670696082837</v>
      </c>
      <c r="V50" s="1">
        <f t="shared" si="35"/>
        <v>0</v>
      </c>
      <c r="W50" s="1">
        <f t="shared" si="9"/>
        <v>3.029544868567787</v>
      </c>
      <c r="X50" s="1">
        <f t="shared" si="10"/>
        <v>1.7491085453896611</v>
      </c>
      <c r="Z50" s="14">
        <f t="shared" si="36"/>
        <v>2.5413933163761837</v>
      </c>
      <c r="AA50" s="14">
        <f t="shared" si="11"/>
        <v>0.82674846292769189</v>
      </c>
      <c r="AB50" s="14">
        <f t="shared" si="12"/>
        <v>5.0678903915685964</v>
      </c>
      <c r="AC50" s="14">
        <f t="shared" si="37"/>
        <v>-4.1821399368839529</v>
      </c>
      <c r="AD50" s="14">
        <f t="shared" si="38"/>
        <v>2.862379878575446</v>
      </c>
      <c r="AE50" s="14">
        <f t="shared" si="39"/>
        <v>2.5382420274489714</v>
      </c>
      <c r="AF50" s="14">
        <f t="shared" si="13"/>
        <v>5.0705576524459435</v>
      </c>
      <c r="AG50" s="14">
        <f t="shared" si="40"/>
        <v>3.2408671222954544E-2</v>
      </c>
      <c r="AH50" s="14">
        <f t="shared" si="14"/>
        <v>3.5622023190880557E-2</v>
      </c>
      <c r="AI50" s="14">
        <f t="shared" si="15"/>
        <v>2.5491451981568387</v>
      </c>
      <c r="AJ50" s="14">
        <f t="shared" si="16"/>
        <v>-3.5405617002807033E-2</v>
      </c>
      <c r="AK50" s="14">
        <f t="shared" si="41"/>
        <v>0.81176133734590417</v>
      </c>
      <c r="AL50" s="14">
        <f t="shared" si="42"/>
        <v>1.773005884001815</v>
      </c>
      <c r="AM50" s="14">
        <f t="shared" si="43"/>
        <v>1.1587160406146104</v>
      </c>
      <c r="AN50" s="1">
        <f t="shared" si="17"/>
        <v>-0.24601106231626546</v>
      </c>
      <c r="AO50" s="1">
        <f t="shared" si="18"/>
        <v>-0.30084870582041723</v>
      </c>
      <c r="AP50" s="1">
        <f t="shared" si="19"/>
        <v>3.1053205893425564</v>
      </c>
      <c r="AQ50" s="1">
        <f t="shared" si="20"/>
        <v>12.206087316729052</v>
      </c>
      <c r="AR50" s="1">
        <f t="shared" si="44"/>
        <v>0</v>
      </c>
      <c r="AS50" s="1">
        <f t="shared" si="21"/>
        <v>3.1053205893425564</v>
      </c>
      <c r="AT50" s="1">
        <f t="shared" si="45"/>
        <v>1.7928576781770122</v>
      </c>
    </row>
    <row r="51" spans="1:46" x14ac:dyDescent="0.25">
      <c r="A51" s="14">
        <f t="shared" si="46"/>
        <v>0.94247779607693849</v>
      </c>
      <c r="B51" s="14">
        <f t="shared" si="2"/>
        <v>2.9389262614623632</v>
      </c>
      <c r="C51" s="14">
        <f t="shared" si="3"/>
        <v>4.0450849718747381</v>
      </c>
      <c r="D51" s="14">
        <f t="shared" si="22"/>
        <v>0.60650191506802997</v>
      </c>
      <c r="E51" s="14">
        <f t="shared" si="4"/>
        <v>0.85915713415062822</v>
      </c>
      <c r="F51" s="14">
        <f t="shared" si="5"/>
        <v>5.0732781296871474</v>
      </c>
      <c r="G51" s="14">
        <f t="shared" si="23"/>
        <v>4.1684434405863904</v>
      </c>
      <c r="H51" s="14">
        <f t="shared" si="24"/>
        <v>2.8917521096723031</v>
      </c>
      <c r="I51" s="14">
        <f t="shared" si="25"/>
        <v>0.60965320399524203</v>
      </c>
      <c r="J51" s="14">
        <f t="shared" si="26"/>
        <v>5.0760519630704382</v>
      </c>
      <c r="K51" s="14">
        <f t="shared" si="27"/>
        <v>3.2478944204531679E-2</v>
      </c>
      <c r="L51" s="14">
        <f t="shared" si="28"/>
        <v>3.8075502996349132E-2</v>
      </c>
      <c r="M51" s="14">
        <f t="shared" si="29"/>
        <v>2.5296049124208806</v>
      </c>
      <c r="N51" s="14">
        <f t="shared" si="30"/>
        <v>3.8219161896318493E-2</v>
      </c>
      <c r="O51" s="14">
        <f t="shared" si="31"/>
        <v>0.81904466579885582</v>
      </c>
      <c r="P51" s="14">
        <f t="shared" si="32"/>
        <v>1.7486357496183744</v>
      </c>
      <c r="Q51" s="14">
        <f t="shared" si="33"/>
        <v>-1.1564408796232124</v>
      </c>
      <c r="R51" s="1">
        <f t="shared" si="34"/>
        <v>0.25357352419208612</v>
      </c>
      <c r="S51" s="1">
        <f t="shared" si="6"/>
        <v>-0.30908597352866807</v>
      </c>
      <c r="T51" s="1">
        <f t="shared" si="7"/>
        <v>3.2215956574611475</v>
      </c>
      <c r="U51" s="1">
        <f t="shared" si="8"/>
        <v>12.578829629947302</v>
      </c>
      <c r="V51" s="1">
        <f t="shared" si="35"/>
        <v>0</v>
      </c>
      <c r="W51" s="1">
        <f t="shared" si="9"/>
        <v>3.2215956574611475</v>
      </c>
      <c r="X51" s="1">
        <f t="shared" si="10"/>
        <v>1.8599891200553229</v>
      </c>
      <c r="Z51" s="14">
        <f t="shared" si="36"/>
        <v>2.5350907385217596</v>
      </c>
      <c r="AA51" s="14">
        <f t="shared" si="11"/>
        <v>0.85915713415064643</v>
      </c>
      <c r="AB51" s="14">
        <f t="shared" si="12"/>
        <v>5.0732781296871501</v>
      </c>
      <c r="AC51" s="14">
        <f t="shared" si="37"/>
        <v>-4.1684434405863815</v>
      </c>
      <c r="AD51" s="14">
        <f t="shared" si="38"/>
        <v>2.8917521096723204</v>
      </c>
      <c r="AE51" s="14">
        <f t="shared" si="39"/>
        <v>2.5319394495945478</v>
      </c>
      <c r="AF51" s="14">
        <f t="shared" si="13"/>
        <v>5.0760519630704417</v>
      </c>
      <c r="AG51" s="14">
        <f t="shared" si="40"/>
        <v>3.2478944204532345E-2</v>
      </c>
      <c r="AH51" s="14">
        <f t="shared" si="14"/>
        <v>3.8075502996350721E-2</v>
      </c>
      <c r="AI51" s="14">
        <f t="shared" si="15"/>
        <v>2.5296049124208699</v>
      </c>
      <c r="AJ51" s="14">
        <f t="shared" si="16"/>
        <v>-3.8219161896320346E-2</v>
      </c>
      <c r="AK51" s="14">
        <f t="shared" si="41"/>
        <v>0.81904466579885937</v>
      </c>
      <c r="AL51" s="14">
        <f t="shared" si="42"/>
        <v>1.7486357496183611</v>
      </c>
      <c r="AM51" s="14">
        <f t="shared" si="43"/>
        <v>1.1534885206495777</v>
      </c>
      <c r="AN51" s="1">
        <f t="shared" si="17"/>
        <v>-0.25482124500956133</v>
      </c>
      <c r="AO51" s="1">
        <f t="shared" si="18"/>
        <v>-0.3064102276007411</v>
      </c>
      <c r="AP51" s="1">
        <f t="shared" si="19"/>
        <v>3.2950512779101371</v>
      </c>
      <c r="AQ51" s="1">
        <f t="shared" si="20"/>
        <v>12.517193045921193</v>
      </c>
      <c r="AR51" s="1">
        <f t="shared" si="44"/>
        <v>0</v>
      </c>
      <c r="AS51" s="1">
        <f t="shared" si="21"/>
        <v>3.2950512779101371</v>
      </c>
      <c r="AT51" s="1">
        <f t="shared" si="45"/>
        <v>1.9023987422950379</v>
      </c>
    </row>
    <row r="52" spans="1:46" x14ac:dyDescent="0.25">
      <c r="A52" s="14">
        <f t="shared" si="46"/>
        <v>0.97738438111682513</v>
      </c>
      <c r="B52" s="14">
        <f t="shared" si="2"/>
        <v>2.795964517353732</v>
      </c>
      <c r="C52" s="14">
        <f t="shared" si="3"/>
        <v>4.1451878627752095</v>
      </c>
      <c r="D52" s="14">
        <f t="shared" si="22"/>
        <v>0.61280449292245398</v>
      </c>
      <c r="E52" s="14">
        <f t="shared" si="4"/>
        <v>0.8916360783551599</v>
      </c>
      <c r="F52" s="14">
        <f t="shared" si="5"/>
        <v>5.0788792952997586</v>
      </c>
      <c r="G52" s="14">
        <f t="shared" si="23"/>
        <v>4.1547172456434982</v>
      </c>
      <c r="H52" s="14">
        <f t="shared" si="24"/>
        <v>2.9211880297195991</v>
      </c>
      <c r="I52" s="14">
        <f t="shared" si="25"/>
        <v>0.61595578184966593</v>
      </c>
      <c r="J52" s="14">
        <f t="shared" si="26"/>
        <v>5.0817602720229731</v>
      </c>
      <c r="K52" s="14">
        <f t="shared" si="27"/>
        <v>3.2552034865769186E-2</v>
      </c>
      <c r="L52" s="14">
        <f t="shared" si="28"/>
        <v>4.0587127589873165E-2</v>
      </c>
      <c r="M52" s="14">
        <f t="shared" si="29"/>
        <v>2.5099671102819299</v>
      </c>
      <c r="N52" s="14">
        <f t="shared" si="30"/>
        <v>4.1136271062590768E-2</v>
      </c>
      <c r="O52" s="14">
        <f t="shared" si="31"/>
        <v>0.82602565981782883</v>
      </c>
      <c r="P52" s="14">
        <f t="shared" si="32"/>
        <v>1.7245285780539739</v>
      </c>
      <c r="Q52" s="14">
        <f t="shared" si="33"/>
        <v>-1.1507930717584605</v>
      </c>
      <c r="R52" s="1">
        <f t="shared" si="34"/>
        <v>0.26228732017518452</v>
      </c>
      <c r="S52" s="1">
        <f t="shared" si="6"/>
        <v>-0.3141554522231883</v>
      </c>
      <c r="T52" s="1">
        <f t="shared" si="7"/>
        <v>3.4161801212702283</v>
      </c>
      <c r="U52" s="1">
        <f t="shared" si="8"/>
        <v>12.876574057520639</v>
      </c>
      <c r="V52" s="1">
        <f t="shared" si="35"/>
        <v>0</v>
      </c>
      <c r="W52" s="1">
        <f t="shared" si="9"/>
        <v>3.4161801212702283</v>
      </c>
      <c r="X52" s="1">
        <f t="shared" si="10"/>
        <v>1.9723325126156146</v>
      </c>
      <c r="Z52" s="14">
        <f t="shared" si="36"/>
        <v>2.5287881606673355</v>
      </c>
      <c r="AA52" s="14">
        <f t="shared" si="11"/>
        <v>0.89163607835517877</v>
      </c>
      <c r="AB52" s="14">
        <f t="shared" si="12"/>
        <v>5.0788792952997621</v>
      </c>
      <c r="AC52" s="14">
        <f t="shared" si="37"/>
        <v>-4.1547172456434902</v>
      </c>
      <c r="AD52" s="14">
        <f t="shared" si="38"/>
        <v>2.9211880297196169</v>
      </c>
      <c r="AE52" s="14">
        <f t="shared" si="39"/>
        <v>2.5256368717401232</v>
      </c>
      <c r="AF52" s="14">
        <f t="shared" si="13"/>
        <v>5.0817602720229775</v>
      </c>
      <c r="AG52" s="14">
        <f t="shared" si="40"/>
        <v>3.2552034865769741E-2</v>
      </c>
      <c r="AH52" s="14">
        <f t="shared" si="14"/>
        <v>4.0587127589875226E-2</v>
      </c>
      <c r="AI52" s="14">
        <f t="shared" si="15"/>
        <v>2.5099671102819165</v>
      </c>
      <c r="AJ52" s="14">
        <f t="shared" si="16"/>
        <v>-4.1136271062593086E-2</v>
      </c>
      <c r="AK52" s="14">
        <f t="shared" si="41"/>
        <v>0.82602565981783327</v>
      </c>
      <c r="AL52" s="14">
        <f t="shared" si="42"/>
        <v>1.7245285780539588</v>
      </c>
      <c r="AM52" s="14">
        <f t="shared" si="43"/>
        <v>1.1479387921003263</v>
      </c>
      <c r="AN52" s="1">
        <f t="shared" si="17"/>
        <v>-0.26349359088283092</v>
      </c>
      <c r="AO52" s="1">
        <f t="shared" si="18"/>
        <v>-0.31156859634264755</v>
      </c>
      <c r="AP52" s="1">
        <f t="shared" si="19"/>
        <v>3.4873553105828856</v>
      </c>
      <c r="AQ52" s="1">
        <f t="shared" si="20"/>
        <v>12.816850982419949</v>
      </c>
      <c r="AR52" s="1">
        <f t="shared" si="44"/>
        <v>0</v>
      </c>
      <c r="AS52" s="1">
        <f t="shared" si="21"/>
        <v>3.4873553105828856</v>
      </c>
      <c r="AT52" s="1">
        <f t="shared" si="45"/>
        <v>2.0134255273249</v>
      </c>
    </row>
    <row r="53" spans="1:46" x14ac:dyDescent="0.25">
      <c r="A53" s="14">
        <f t="shared" si="46"/>
        <v>1.0122909661567117</v>
      </c>
      <c r="B53" s="14">
        <f t="shared" si="2"/>
        <v>2.6495963211660229</v>
      </c>
      <c r="C53" s="14">
        <f t="shared" si="3"/>
        <v>4.2402404807821314</v>
      </c>
      <c r="D53" s="14">
        <f t="shared" si="22"/>
        <v>0.61910707077687799</v>
      </c>
      <c r="E53" s="14">
        <f t="shared" si="4"/>
        <v>0.92418811322092909</v>
      </c>
      <c r="F53" s="14">
        <f t="shared" si="5"/>
        <v>5.0846950418504804</v>
      </c>
      <c r="G53" s="14">
        <f t="shared" si="23"/>
        <v>4.1409601612524032</v>
      </c>
      <c r="H53" s="14">
        <f t="shared" si="24"/>
        <v>2.9506901924023339</v>
      </c>
      <c r="I53" s="14">
        <f t="shared" si="25"/>
        <v>0.62225835970409005</v>
      </c>
      <c r="J53" s="14">
        <f t="shared" si="26"/>
        <v>5.0876837563742292</v>
      </c>
      <c r="K53" s="14">
        <f t="shared" si="27"/>
        <v>3.2627967543585878E-2</v>
      </c>
      <c r="L53" s="14">
        <f t="shared" si="28"/>
        <v>4.3154598359273072E-2</v>
      </c>
      <c r="M53" s="14">
        <f t="shared" si="29"/>
        <v>2.4902410169256912</v>
      </c>
      <c r="N53" s="14">
        <f t="shared" si="30"/>
        <v>4.4155359760785343E-2</v>
      </c>
      <c r="O53" s="14">
        <f t="shared" si="31"/>
        <v>0.83270055420585898</v>
      </c>
      <c r="P53" s="14">
        <f t="shared" si="32"/>
        <v>1.700695061079105</v>
      </c>
      <c r="Q53" s="14">
        <f t="shared" si="33"/>
        <v>-1.1448380080990177</v>
      </c>
      <c r="R53" s="1">
        <f t="shared" si="34"/>
        <v>0.27085354758901242</v>
      </c>
      <c r="S53" s="1">
        <f t="shared" si="6"/>
        <v>-0.31883081117142298</v>
      </c>
      <c r="T53" s="1">
        <f t="shared" si="7"/>
        <v>3.612991298281496</v>
      </c>
      <c r="U53" s="1">
        <f t="shared" si="8"/>
        <v>13.162986825884927</v>
      </c>
      <c r="V53" s="1">
        <f t="shared" si="35"/>
        <v>0</v>
      </c>
      <c r="W53" s="1">
        <f t="shared" si="9"/>
        <v>3.612991298281496</v>
      </c>
      <c r="X53" s="1">
        <f t="shared" si="10"/>
        <v>2.0859614986425972</v>
      </c>
      <c r="Z53" s="14">
        <f t="shared" si="36"/>
        <v>2.5224855828129114</v>
      </c>
      <c r="AA53" s="14">
        <f t="shared" si="11"/>
        <v>0.92418811322094852</v>
      </c>
      <c r="AB53" s="14">
        <f t="shared" si="12"/>
        <v>5.0846950418504839</v>
      </c>
      <c r="AC53" s="14">
        <f t="shared" si="37"/>
        <v>-4.1409601612523952</v>
      </c>
      <c r="AD53" s="14">
        <f t="shared" si="38"/>
        <v>2.9506901924023525</v>
      </c>
      <c r="AE53" s="14">
        <f t="shared" si="39"/>
        <v>2.5193342938856995</v>
      </c>
      <c r="AF53" s="14">
        <f t="shared" si="13"/>
        <v>5.0876837563742328</v>
      </c>
      <c r="AG53" s="14">
        <f t="shared" si="40"/>
        <v>3.2627967543586434E-2</v>
      </c>
      <c r="AH53" s="14">
        <f t="shared" si="14"/>
        <v>4.3154598359274564E-2</v>
      </c>
      <c r="AI53" s="14">
        <f t="shared" si="15"/>
        <v>2.4902410169256797</v>
      </c>
      <c r="AJ53" s="14">
        <f t="shared" si="16"/>
        <v>-4.415535976078707E-2</v>
      </c>
      <c r="AK53" s="14">
        <f t="shared" si="41"/>
        <v>0.83270055420586275</v>
      </c>
      <c r="AL53" s="14">
        <f t="shared" si="42"/>
        <v>1.7006950610790916</v>
      </c>
      <c r="AM53" s="14">
        <f t="shared" si="43"/>
        <v>1.1420799868978884</v>
      </c>
      <c r="AN53" s="1">
        <f t="shared" si="17"/>
        <v>-0.27201913771488095</v>
      </c>
      <c r="AO53" s="1">
        <f t="shared" si="18"/>
        <v>-0.31633119508003282</v>
      </c>
      <c r="AP53" s="1">
        <f t="shared" si="19"/>
        <v>3.6819265853527869</v>
      </c>
      <c r="AQ53" s="1">
        <f t="shared" si="20"/>
        <v>13.105143251928807</v>
      </c>
      <c r="AR53" s="1">
        <f t="shared" si="44"/>
        <v>0</v>
      </c>
      <c r="AS53" s="1">
        <f t="shared" si="21"/>
        <v>3.6819265853527869</v>
      </c>
      <c r="AT53" s="1">
        <f t="shared" si="45"/>
        <v>2.1257613051898709</v>
      </c>
    </row>
    <row r="54" spans="1:46" x14ac:dyDescent="0.25">
      <c r="A54" s="14">
        <f t="shared" si="46"/>
        <v>1.0471975511965983</v>
      </c>
      <c r="B54" s="14">
        <f t="shared" si="2"/>
        <v>2.4999999999999973</v>
      </c>
      <c r="C54" s="14">
        <f t="shared" si="3"/>
        <v>4.3301270189221945</v>
      </c>
      <c r="D54" s="14">
        <f t="shared" si="22"/>
        <v>0.625409648631302</v>
      </c>
      <c r="E54" s="14">
        <f t="shared" si="4"/>
        <v>0.95681608076451496</v>
      </c>
      <c r="F54" s="14">
        <f t="shared" si="5"/>
        <v>5.0907265701871642</v>
      </c>
      <c r="G54" s="14">
        <f t="shared" si="23"/>
        <v>4.1271709863250026</v>
      </c>
      <c r="H54" s="14">
        <f t="shared" si="24"/>
        <v>2.980261173462265</v>
      </c>
      <c r="I54" s="14">
        <f t="shared" si="25"/>
        <v>0.62856093755851394</v>
      </c>
      <c r="J54" s="14">
        <f t="shared" si="26"/>
        <v>5.0938236409030964</v>
      </c>
      <c r="K54" s="14">
        <f t="shared" si="27"/>
        <v>3.2706767606799692E-2</v>
      </c>
      <c r="L54" s="14">
        <f t="shared" si="28"/>
        <v>4.5775651471149002E-2</v>
      </c>
      <c r="M54" s="14">
        <f t="shared" si="29"/>
        <v>2.4704358257555428</v>
      </c>
      <c r="N54" s="14">
        <f t="shared" si="30"/>
        <v>4.7274689779658971E-2</v>
      </c>
      <c r="O54" s="14">
        <f t="shared" si="31"/>
        <v>0.83906619139764138</v>
      </c>
      <c r="P54" s="14">
        <f t="shared" si="32"/>
        <v>1.6771452858290503</v>
      </c>
      <c r="Q54" s="14">
        <f t="shared" si="33"/>
        <v>-1.1385890366384295</v>
      </c>
      <c r="R54" s="1">
        <f t="shared" si="34"/>
        <v>0.27926370360171593</v>
      </c>
      <c r="S54" s="1">
        <f t="shared" si="6"/>
        <v>-0.32311988475628439</v>
      </c>
      <c r="T54" s="1">
        <f t="shared" si="7"/>
        <v>3.8117286332814508</v>
      </c>
      <c r="U54" s="1">
        <f t="shared" si="8"/>
        <v>13.438164477110293</v>
      </c>
      <c r="V54" s="1">
        <f t="shared" si="35"/>
        <v>0</v>
      </c>
      <c r="W54" s="1">
        <f t="shared" si="9"/>
        <v>3.8117286332814508</v>
      </c>
      <c r="X54" s="1">
        <f t="shared" si="10"/>
        <v>2.2007025525028499</v>
      </c>
      <c r="Z54" s="14">
        <f t="shared" si="36"/>
        <v>2.5161830049584872</v>
      </c>
      <c r="AA54" s="14">
        <f t="shared" si="11"/>
        <v>0.95681608076453495</v>
      </c>
      <c r="AB54" s="14">
        <f t="shared" si="12"/>
        <v>5.0907265701871678</v>
      </c>
      <c r="AC54" s="14">
        <f t="shared" si="37"/>
        <v>-4.1271709863249937</v>
      </c>
      <c r="AD54" s="14">
        <f t="shared" si="38"/>
        <v>2.9802611734622837</v>
      </c>
      <c r="AE54" s="14">
        <f t="shared" si="39"/>
        <v>2.513031716031275</v>
      </c>
      <c r="AF54" s="14">
        <f t="shared" si="13"/>
        <v>5.0938236409031017</v>
      </c>
      <c r="AG54" s="14">
        <f t="shared" si="40"/>
        <v>3.2706767606800469E-2</v>
      </c>
      <c r="AH54" s="14">
        <f t="shared" si="14"/>
        <v>4.5775651471151514E-2</v>
      </c>
      <c r="AI54" s="14">
        <f t="shared" si="15"/>
        <v>2.4704358257555281</v>
      </c>
      <c r="AJ54" s="14">
        <f t="shared" si="16"/>
        <v>-4.7274689779661767E-2</v>
      </c>
      <c r="AK54" s="14">
        <f t="shared" si="41"/>
        <v>0.83906619139764527</v>
      </c>
      <c r="AL54" s="14">
        <f t="shared" si="42"/>
        <v>1.6771452858290345</v>
      </c>
      <c r="AM54" s="14">
        <f t="shared" si="43"/>
        <v>1.1359254110330945</v>
      </c>
      <c r="AN54" s="1">
        <f t="shared" si="17"/>
        <v>-0.28038940042497407</v>
      </c>
      <c r="AO54" s="1">
        <f t="shared" si="18"/>
        <v>-0.32070582012842563</v>
      </c>
      <c r="AP54" s="1">
        <f t="shared" si="19"/>
        <v>3.8784653401906857</v>
      </c>
      <c r="AQ54" s="1">
        <f t="shared" si="20"/>
        <v>13.382165730957414</v>
      </c>
      <c r="AR54" s="1">
        <f t="shared" si="44"/>
        <v>0</v>
      </c>
      <c r="AS54" s="1">
        <f t="shared" si="21"/>
        <v>3.8784653401906857</v>
      </c>
      <c r="AT54" s="1">
        <f t="shared" si="45"/>
        <v>2.2392330082017255</v>
      </c>
    </row>
    <row r="55" spans="1:46" x14ac:dyDescent="0.25">
      <c r="A55" s="14">
        <f t="shared" si="46"/>
        <v>1.0821041362364849</v>
      </c>
      <c r="B55" s="14">
        <f t="shared" si="2"/>
        <v>2.3473578139294511</v>
      </c>
      <c r="C55" s="14">
        <f t="shared" si="3"/>
        <v>4.4147379642946358</v>
      </c>
      <c r="D55" s="14">
        <f t="shared" si="22"/>
        <v>0.631712226485726</v>
      </c>
      <c r="E55" s="14">
        <f t="shared" si="4"/>
        <v>0.98952284837131466</v>
      </c>
      <c r="F55" s="14">
        <f t="shared" si="5"/>
        <v>5.0969751291769985</v>
      </c>
      <c r="G55" s="14">
        <f t="shared" si="23"/>
        <v>4.1133485090518596</v>
      </c>
      <c r="H55" s="14">
        <f t="shared" si="24"/>
        <v>3.0099035716331057</v>
      </c>
      <c r="I55" s="14">
        <f t="shared" si="25"/>
        <v>0.63486351541293806</v>
      </c>
      <c r="J55" s="14">
        <f t="shared" si="26"/>
        <v>5.1001811987257311</v>
      </c>
      <c r="K55" s="14">
        <f t="shared" si="27"/>
        <v>3.2788461474444142E-2</v>
      </c>
      <c r="L55" s="14">
        <f t="shared" si="28"/>
        <v>4.8448061718888456E-2</v>
      </c>
      <c r="M55" s="14">
        <f t="shared" si="29"/>
        <v>2.4505606907722193</v>
      </c>
      <c r="N55" s="14">
        <f t="shared" si="30"/>
        <v>5.0492371485696394E-2</v>
      </c>
      <c r="O55" s="14">
        <f t="shared" si="31"/>
        <v>0.84512002328968183</v>
      </c>
      <c r="P55" s="14">
        <f t="shared" si="32"/>
        <v>1.6538887292014259</v>
      </c>
      <c r="Q55" s="14">
        <f t="shared" si="33"/>
        <v>-1.1320596474245901</v>
      </c>
      <c r="R55" s="1">
        <f t="shared" si="34"/>
        <v>0.2875097777066643</v>
      </c>
      <c r="S55" s="1">
        <f t="shared" si="6"/>
        <v>-0.32703089400322938</v>
      </c>
      <c r="T55" s="1">
        <f t="shared" si="7"/>
        <v>4.0120985255436379</v>
      </c>
      <c r="U55" s="1">
        <f t="shared" si="8"/>
        <v>13.702217007734262</v>
      </c>
      <c r="V55" s="1">
        <f t="shared" si="35"/>
        <v>0</v>
      </c>
      <c r="W55" s="1">
        <f t="shared" si="9"/>
        <v>4.0120985255436379</v>
      </c>
      <c r="X55" s="1">
        <f t="shared" si="10"/>
        <v>2.3163861637379197</v>
      </c>
      <c r="Z55" s="14">
        <f t="shared" si="36"/>
        <v>2.5098804271040631</v>
      </c>
      <c r="AA55" s="14">
        <f t="shared" si="11"/>
        <v>0.98952284837133542</v>
      </c>
      <c r="AB55" s="14">
        <f t="shared" si="12"/>
        <v>5.0969751291770029</v>
      </c>
      <c r="AC55" s="14">
        <f t="shared" si="37"/>
        <v>-4.1133485090518507</v>
      </c>
      <c r="AD55" s="14">
        <f t="shared" si="38"/>
        <v>3.0099035716331253</v>
      </c>
      <c r="AE55" s="14">
        <f t="shared" si="39"/>
        <v>2.5067291381768513</v>
      </c>
      <c r="AF55" s="14">
        <f t="shared" si="13"/>
        <v>5.1001811987257346</v>
      </c>
      <c r="AG55" s="14">
        <f t="shared" si="40"/>
        <v>3.2788461474444697E-2</v>
      </c>
      <c r="AH55" s="14">
        <f t="shared" si="14"/>
        <v>4.8448061718890129E-2</v>
      </c>
      <c r="AI55" s="14">
        <f t="shared" si="15"/>
        <v>2.4505606907722073</v>
      </c>
      <c r="AJ55" s="14">
        <f t="shared" si="16"/>
        <v>-5.0492371485698441E-2</v>
      </c>
      <c r="AK55" s="14">
        <f t="shared" si="41"/>
        <v>0.84512002328968583</v>
      </c>
      <c r="AL55" s="14">
        <f t="shared" si="42"/>
        <v>1.6538887292014117</v>
      </c>
      <c r="AM55" s="14">
        <f t="shared" si="43"/>
        <v>1.1294885163919157</v>
      </c>
      <c r="AN55" s="1">
        <f t="shared" si="17"/>
        <v>-0.28859638463440418</v>
      </c>
      <c r="AO55" s="1">
        <f t="shared" si="18"/>
        <v>-0.32470065792683089</v>
      </c>
      <c r="AP55" s="1">
        <f t="shared" si="19"/>
        <v>4.076678700252045</v>
      </c>
      <c r="AQ55" s="1">
        <f t="shared" si="20"/>
        <v>13.648027806955602</v>
      </c>
      <c r="AR55" s="1">
        <f t="shared" si="44"/>
        <v>0</v>
      </c>
      <c r="AS55" s="1">
        <f t="shared" si="21"/>
        <v>4.076678700252045</v>
      </c>
      <c r="AT55" s="1">
        <f t="shared" si="45"/>
        <v>2.3536715449901315</v>
      </c>
    </row>
    <row r="56" spans="1:46" x14ac:dyDescent="0.25">
      <c r="A56" s="14">
        <f t="shared" si="46"/>
        <v>1.1170107212763716</v>
      </c>
      <c r="B56" s="14">
        <f t="shared" ref="B56:B87" si="47">R_*COS(A56)</f>
        <v>2.1918557339453844</v>
      </c>
      <c r="C56" s="14">
        <f t="shared" ref="C56:C87" si="48">R_*SIN(A56)</f>
        <v>4.4939702314958367</v>
      </c>
      <c r="D56" s="14">
        <f t="shared" si="22"/>
        <v>0.63801480434015001</v>
      </c>
      <c r="E56" s="14">
        <f t="shared" ref="E56:E87" si="49">R_*SIN(D56-θ1+θ0)/COS(α1-D56-θ0)</f>
        <v>1.0223113098457588</v>
      </c>
      <c r="F56" s="14">
        <f t="shared" ref="F56:F87" si="50">R_*SIN(PI()/2-α1+θ1)/SIN(PI()/2+α1-D56-θ0)</f>
        <v>5.1034420163492165</v>
      </c>
      <c r="G56" s="14">
        <f t="shared" si="23"/>
        <v>4.0994915064583779</v>
      </c>
      <c r="H56" s="14">
        <f t="shared" si="24"/>
        <v>3.0396200095923458</v>
      </c>
      <c r="I56" s="14">
        <f t="shared" si="25"/>
        <v>0.64116609326736196</v>
      </c>
      <c r="J56" s="14">
        <f t="shared" ref="J56:J87" si="51">R_*SIN(PI()/2-α1+θ1)/SIN(PI()/2+α1-I56)</f>
        <v>5.1067577519520526</v>
      </c>
      <c r="K56" s="14">
        <f t="shared" si="27"/>
        <v>3.2873076634927445E-2</v>
      </c>
      <c r="L56" s="14">
        <f t="shared" ref="L56:L87" si="52">p/2*(1+k)*(1-(R_/J56)^2)-p/2*(1-k)*(1-4*(R_/J56)^2+3*(R_/J56)^4)*COS(2*I56)</f>
        <v>5.1169646296162982E-2</v>
      </c>
      <c r="M56" s="14">
        <f t="shared" ref="M56:M87" si="53">p/2*(1+k)*(1+(R_/J56)^2)+p/2*(1-k)*(1+3*(R_/J56)^4)*COS(2*I56)</f>
        <v>2.4306247190311998</v>
      </c>
      <c r="N56" s="14">
        <f t="shared" ref="N56:N87" si="54">p/2*(1-k)*(1+2*(R_/J56)^2-3*(R_/J56)^4)*SIN(2*I56)</f>
        <v>5.3806366067992738E-2</v>
      </c>
      <c r="O56" s="14">
        <f t="shared" si="31"/>
        <v>0.85086011174169585</v>
      </c>
      <c r="P56" s="14">
        <f t="shared" si="32"/>
        <v>1.6309342535856666</v>
      </c>
      <c r="Q56" s="14">
        <f t="shared" si="33"/>
        <v>-1.1252634443218912</v>
      </c>
      <c r="R56" s="1">
        <f t="shared" ref="R56:R87" si="55">nx1_*O56+ny1_*Q56</f>
        <v>0.29558426411070304</v>
      </c>
      <c r="S56" s="1">
        <f t="shared" ref="S56:S87" si="56">nx1_*Q56+ny1_*P56</f>
        <v>-0.33057242279287213</v>
      </c>
      <c r="T56" s="1">
        <f t="shared" ref="T56:T87" si="57">(R56*nx1_+S56*ny1_)*K56*1000</f>
        <v>4.2138148678801466</v>
      </c>
      <c r="U56" s="1">
        <f t="shared" ref="U56:U87" si="58">(R56*mx1_+S56*my1_)*K56*1000</f>
        <v>13.955267607242664</v>
      </c>
      <c r="V56" s="1">
        <f t="shared" si="35"/>
        <v>0</v>
      </c>
      <c r="W56" s="1">
        <f t="shared" ref="W56:W87" si="59">IF(-T56&gt;=σt*K56,0,T56)</f>
        <v>4.2138148678801466</v>
      </c>
      <c r="X56" s="1">
        <f t="shared" ref="X56:X87" si="60">IF(-T56&gt;=σt*K56,0,SIGN(U56)*IF(T56&lt;0,MIN(ABS(U56),c_*K56),MIN(ABS(U56),c_*K56+T56*TAN(φ))))</f>
        <v>2.43284714828585</v>
      </c>
      <c r="Z56" s="14">
        <f t="shared" si="36"/>
        <v>2.503577849249639</v>
      </c>
      <c r="AA56" s="14">
        <f t="shared" ref="AA56:AA87" si="61">R_*SIN(PI()-Z56-θ2-θ0)/COS(α2-PI()+Z56+θ0)</f>
        <v>1.0223113098457801</v>
      </c>
      <c r="AB56" s="14">
        <f t="shared" ref="AB56:AB87" si="62">R_*SIN(PI()/2-α2+θ2)/SIN(PI()/2+α2-PI()+Z56+θ0)</f>
        <v>5.1034420163492209</v>
      </c>
      <c r="AC56" s="14">
        <f t="shared" si="37"/>
        <v>-4.099491506458369</v>
      </c>
      <c r="AD56" s="14">
        <f t="shared" si="38"/>
        <v>3.0396200095923662</v>
      </c>
      <c r="AE56" s="14">
        <f t="shared" si="39"/>
        <v>2.5004265603224267</v>
      </c>
      <c r="AF56" s="14">
        <f t="shared" ref="AF56:AF87" si="63">R_*SIN(PI()/2-α2+θ2)/SIN(PI()/2+α2-PI()+AE56)</f>
        <v>5.1067577519520571</v>
      </c>
      <c r="AG56" s="14">
        <f t="shared" si="40"/>
        <v>3.2873076634927889E-2</v>
      </c>
      <c r="AH56" s="14">
        <f t="shared" ref="AH56:AH87" si="64">p/2*(1+k)*(1-(R_/AF56)^2)-p/2*(1-k)*(1-4*(R_/AF56)^2+3*(R_/AF56)^4)*COS(2*AE56)</f>
        <v>5.1169646296164918E-2</v>
      </c>
      <c r="AI56" s="14">
        <f t="shared" ref="AI56:AI87" si="65">p/2*(1+k)*(1+(R_/AF56)^2)+p/2*(1-k)*(1+3*(R_/AF56)^4)*COS(2*AE56)</f>
        <v>2.4306247190311852</v>
      </c>
      <c r="AJ56" s="14">
        <f t="shared" ref="AJ56:AJ87" si="66">p/2*(1-k)*(1+2*(R_/AF56)^2-3*(R_/AF56)^4)*SIN(2*AE56)</f>
        <v>-5.3806366067995118E-2</v>
      </c>
      <c r="AK56" s="14">
        <f t="shared" si="41"/>
        <v>0.85086011174169995</v>
      </c>
      <c r="AL56" s="14">
        <f t="shared" si="42"/>
        <v>1.6309342535856506</v>
      </c>
      <c r="AM56" s="14">
        <f t="shared" si="43"/>
        <v>1.1227828725331848</v>
      </c>
      <c r="AN56" s="1">
        <f t="shared" ref="AN56:AN87" si="67">nx2_*AK56+ny2_*AM56</f>
        <v>-0.29663259904817285</v>
      </c>
      <c r="AO56" s="1">
        <f t="shared" ref="AO56:AO87" si="68">nx2_*AM56+ny2_*AL56</f>
        <v>-0.32832426126447078</v>
      </c>
      <c r="AP56" s="1">
        <f t="shared" ref="AP56:AP87" si="69">(AN56*nx2_+AO56*ny2_)*AG56*1000</f>
        <v>4.2762812162566695</v>
      </c>
      <c r="AQ56" s="1">
        <f t="shared" ref="AQ56:AQ87" si="70">(AN56*mx2_+AO56*my2_)*AG56*1000</f>
        <v>13.902852117359435</v>
      </c>
      <c r="AR56" s="1">
        <f t="shared" si="44"/>
        <v>0</v>
      </c>
      <c r="AS56" s="1">
        <f t="shared" ref="AS56:AS87" si="71">IF(-AP56&gt;=σt*AG56,0,AP56)</f>
        <v>4.2762812162566695</v>
      </c>
      <c r="AT56" s="1">
        <f t="shared" ref="AT56:AT87" si="72">IF(-AP56&gt;=σt*AG56,0,SIGN(AQ56)*IF(AP56&lt;0,MIN(ABS(AQ56),c_*AG56),MIN(ABS(AQ56),c_*AG56+AP56*TAN(φ))))</f>
        <v>2.4689121113363282</v>
      </c>
    </row>
    <row r="57" spans="1:46" x14ac:dyDescent="0.25">
      <c r="A57" s="14">
        <f t="shared" si="46"/>
        <v>1.1519173063162582</v>
      </c>
      <c r="B57" s="14">
        <f t="shared" si="47"/>
        <v>2.0336832153789981</v>
      </c>
      <c r="C57" s="14">
        <f t="shared" si="48"/>
        <v>4.567727288213006</v>
      </c>
      <c r="D57" s="14">
        <f t="shared" ref="D57:D88" si="73">D56+(PI()/2-θ1)/180</f>
        <v>0.64431738219457402</v>
      </c>
      <c r="E57" s="14">
        <f t="shared" si="49"/>
        <v>1.0551843864806862</v>
      </c>
      <c r="F57" s="14">
        <f t="shared" si="50"/>
        <v>5.1101285785655755</v>
      </c>
      <c r="G57" s="14">
        <f t="shared" si="23"/>
        <v>4.0855987439528567</v>
      </c>
      <c r="H57" s="14">
        <f t="shared" si="24"/>
        <v>3.0694131349304334</v>
      </c>
      <c r="I57" s="14">
        <f t="shared" si="25"/>
        <v>0.64746867112178608</v>
      </c>
      <c r="J57" s="14">
        <f t="shared" si="51"/>
        <v>5.113554672370376</v>
      </c>
      <c r="K57" s="14">
        <f t="shared" si="27"/>
        <v>3.2960641666063273E-2</v>
      </c>
      <c r="L57" s="14">
        <f t="shared" si="52"/>
        <v>5.3938268489918798E-2</v>
      </c>
      <c r="M57" s="14">
        <f t="shared" si="53"/>
        <v>2.410636963186076</v>
      </c>
      <c r="N57" s="14">
        <f t="shared" si="54"/>
        <v>5.7214487976808802E-2</v>
      </c>
      <c r="O57" s="14">
        <f t="shared" si="31"/>
        <v>0.8562851277522936</v>
      </c>
      <c r="P57" s="14">
        <f t="shared" si="32"/>
        <v>1.6082901039237012</v>
      </c>
      <c r="Q57" s="14">
        <f t="shared" si="33"/>
        <v>-1.1182141167877695</v>
      </c>
      <c r="R57" s="1">
        <f t="shared" si="55"/>
        <v>0.30348017291481771</v>
      </c>
      <c r="S57" s="1">
        <f t="shared" si="56"/>
        <v>-0.33375339352406186</v>
      </c>
      <c r="T57" s="1">
        <f t="shared" si="57"/>
        <v>4.4165995759855967</v>
      </c>
      <c r="U57" s="1">
        <f t="shared" si="58"/>
        <v>14.197452375929561</v>
      </c>
      <c r="V57" s="1">
        <f t="shared" si="35"/>
        <v>0</v>
      </c>
      <c r="W57" s="1">
        <f t="shared" si="59"/>
        <v>4.4165995759855967</v>
      </c>
      <c r="X57" s="1">
        <f t="shared" si="60"/>
        <v>2.5499249540980711</v>
      </c>
      <c r="Z57" s="14">
        <f t="shared" ref="Z57:Z88" si="74">Z56-(PI()/2-θ2)/180</f>
        <v>2.4972752713952149</v>
      </c>
      <c r="AA57" s="14">
        <f t="shared" si="61"/>
        <v>1.055184386480708</v>
      </c>
      <c r="AB57" s="14">
        <f t="shared" si="62"/>
        <v>5.1101285785655799</v>
      </c>
      <c r="AC57" s="14">
        <f t="shared" si="37"/>
        <v>-4.0855987439528469</v>
      </c>
      <c r="AD57" s="14">
        <f t="shared" si="38"/>
        <v>3.0694131349304539</v>
      </c>
      <c r="AE57" s="14">
        <f t="shared" si="39"/>
        <v>2.494123982468003</v>
      </c>
      <c r="AF57" s="14">
        <f t="shared" si="63"/>
        <v>5.1135546723703804</v>
      </c>
      <c r="AG57" s="14">
        <f t="shared" si="40"/>
        <v>3.2960641666064383E-2</v>
      </c>
      <c r="AH57" s="14">
        <f t="shared" si="64"/>
        <v>5.3938268489920685E-2</v>
      </c>
      <c r="AI57" s="14">
        <f t="shared" si="65"/>
        <v>2.4106369631860631</v>
      </c>
      <c r="AJ57" s="14">
        <f t="shared" si="66"/>
        <v>-5.7214487976811029E-2</v>
      </c>
      <c r="AK57" s="14">
        <f t="shared" si="41"/>
        <v>0.85628512775229726</v>
      </c>
      <c r="AL57" s="14">
        <f t="shared" si="42"/>
        <v>1.6082901039236863</v>
      </c>
      <c r="AM57" s="14">
        <f t="shared" si="43"/>
        <v>1.1158221384723921</v>
      </c>
      <c r="AN57" s="1">
        <f t="shared" si="67"/>
        <v>-0.30449106663258713</v>
      </c>
      <c r="AO57" s="1">
        <f t="shared" si="68"/>
        <v>-0.33158552495041882</v>
      </c>
      <c r="AP57" s="1">
        <f t="shared" si="69"/>
        <v>4.4769953932685551</v>
      </c>
      <c r="AQ57" s="1">
        <f t="shared" si="70"/>
        <v>14.14677426792362</v>
      </c>
      <c r="AR57" s="1">
        <f t="shared" si="44"/>
        <v>0</v>
      </c>
      <c r="AS57" s="1">
        <f t="shared" si="71"/>
        <v>4.4769953932685551</v>
      </c>
      <c r="AT57" s="1">
        <f t="shared" si="72"/>
        <v>2.5847944954643145</v>
      </c>
    </row>
    <row r="58" spans="1:46" x14ac:dyDescent="0.25">
      <c r="A58" s="14">
        <f t="shared" si="46"/>
        <v>1.1868238913561449</v>
      </c>
      <c r="B58" s="14">
        <f t="shared" si="47"/>
        <v>1.8730329670795567</v>
      </c>
      <c r="C58" s="14">
        <f t="shared" si="48"/>
        <v>4.635919272833938</v>
      </c>
      <c r="D58" s="14">
        <f t="shared" si="73"/>
        <v>0.65061996004899803</v>
      </c>
      <c r="E58" s="14">
        <f t="shared" si="49"/>
        <v>1.0881450281467495</v>
      </c>
      <c r="F58" s="14">
        <f t="shared" si="50"/>
        <v>5.1170362127192819</v>
      </c>
      <c r="G58" s="14">
        <f t="shared" si="23"/>
        <v>4.0716689748660864</v>
      </c>
      <c r="H58" s="14">
        <f t="shared" si="24"/>
        <v>3.0992856211381108</v>
      </c>
      <c r="I58" s="14">
        <f t="shared" si="25"/>
        <v>0.65377124897620997</v>
      </c>
      <c r="J58" s="14">
        <f t="shared" si="51"/>
        <v>5.1205733821608019</v>
      </c>
      <c r="K58" s="14">
        <f t="shared" si="27"/>
        <v>3.3051186256000786E-2</v>
      </c>
      <c r="L58" s="14">
        <f t="shared" si="52"/>
        <v>5.6751841286939581E-2</v>
      </c>
      <c r="M58" s="14">
        <f t="shared" si="53"/>
        <v>2.3906064141261396</v>
      </c>
      <c r="N58" s="14">
        <f t="shared" si="54"/>
        <v>6.0714407552406299E-2</v>
      </c>
      <c r="O58" s="14">
        <f t="shared" si="31"/>
        <v>0.86139434931509518</v>
      </c>
      <c r="P58" s="14">
        <f t="shared" si="32"/>
        <v>1.5859639060979838</v>
      </c>
      <c r="Q58" s="14">
        <f t="shared" si="33"/>
        <v>-1.1109254117270488</v>
      </c>
      <c r="R58" s="1">
        <f t="shared" si="55"/>
        <v>0.31119104006598269</v>
      </c>
      <c r="S58" s="1">
        <f t="shared" si="56"/>
        <v>-0.33658304228650093</v>
      </c>
      <c r="T58" s="1">
        <f t="shared" si="57"/>
        <v>4.6201831073167563</v>
      </c>
      <c r="U58" s="1">
        <f t="shared" si="58"/>
        <v>14.428920022543801</v>
      </c>
      <c r="V58" s="1">
        <f t="shared" si="35"/>
        <v>0</v>
      </c>
      <c r="W58" s="1">
        <f t="shared" si="59"/>
        <v>4.6201831073167563</v>
      </c>
      <c r="X58" s="1">
        <f t="shared" si="60"/>
        <v>2.6674639607146906</v>
      </c>
      <c r="Z58" s="14">
        <f t="shared" si="74"/>
        <v>2.4909726935407908</v>
      </c>
      <c r="AA58" s="14">
        <f t="shared" si="61"/>
        <v>1.0881450281467724</v>
      </c>
      <c r="AB58" s="14">
        <f t="shared" si="62"/>
        <v>5.1170362127192863</v>
      </c>
      <c r="AC58" s="14">
        <f t="shared" si="37"/>
        <v>-4.0716689748660757</v>
      </c>
      <c r="AD58" s="14">
        <f t="shared" si="38"/>
        <v>3.0992856211381317</v>
      </c>
      <c r="AE58" s="14">
        <f t="shared" si="39"/>
        <v>2.4878214046135785</v>
      </c>
      <c r="AF58" s="14">
        <f t="shared" si="63"/>
        <v>5.1205733821608073</v>
      </c>
      <c r="AG58" s="14">
        <f t="shared" si="40"/>
        <v>3.305118625600123E-2</v>
      </c>
      <c r="AH58" s="14">
        <f t="shared" si="64"/>
        <v>5.6751841286941759E-2</v>
      </c>
      <c r="AI58" s="14">
        <f t="shared" si="65"/>
        <v>2.3906064141261241</v>
      </c>
      <c r="AJ58" s="14">
        <f t="shared" si="66"/>
        <v>-6.0714407552409165E-2</v>
      </c>
      <c r="AK58" s="14">
        <f t="shared" si="41"/>
        <v>0.86139434931509851</v>
      </c>
      <c r="AL58" s="14">
        <f t="shared" si="42"/>
        <v>1.5859639060979671</v>
      </c>
      <c r="AM58" s="14">
        <f t="shared" si="43"/>
        <v>1.1086200345348916</v>
      </c>
      <c r="AN58" s="1">
        <f t="shared" si="67"/>
        <v>-0.31216533456759177</v>
      </c>
      <c r="AO58" s="1">
        <f t="shared" si="68"/>
        <v>-0.33449366098519917</v>
      </c>
      <c r="AP58" s="1">
        <f t="shared" si="69"/>
        <v>4.6785522091220377</v>
      </c>
      <c r="AQ58" s="1">
        <f t="shared" si="70"/>
        <v>14.37994253074733</v>
      </c>
      <c r="AR58" s="1">
        <f t="shared" si="44"/>
        <v>0</v>
      </c>
      <c r="AS58" s="1">
        <f t="shared" si="71"/>
        <v>4.6785522091220377</v>
      </c>
      <c r="AT58" s="1">
        <f t="shared" si="72"/>
        <v>2.7011633773543267</v>
      </c>
    </row>
    <row r="59" spans="1:46" x14ac:dyDescent="0.25">
      <c r="A59" s="14">
        <f t="shared" si="46"/>
        <v>1.2217304763960315</v>
      </c>
      <c r="B59" s="14">
        <f t="shared" si="47"/>
        <v>1.71010071662834</v>
      </c>
      <c r="C59" s="14">
        <f t="shared" si="48"/>
        <v>4.6984631039295435</v>
      </c>
      <c r="D59" s="14">
        <f t="shared" si="73"/>
        <v>0.65692253790342203</v>
      </c>
      <c r="E59" s="14">
        <f t="shared" si="49"/>
        <v>1.1211962144027503</v>
      </c>
      <c r="F59" s="14">
        <f t="shared" si="50"/>
        <v>5.1241663664630428</v>
      </c>
      <c r="G59" s="14">
        <f t="shared" si="23"/>
        <v>4.0577009399821069</v>
      </c>
      <c r="H59" s="14">
        <f t="shared" si="24"/>
        <v>3.1292401686127231</v>
      </c>
      <c r="I59" s="14">
        <f t="shared" si="25"/>
        <v>0.66007382683063409</v>
      </c>
      <c r="J59" s="14">
        <f t="shared" si="51"/>
        <v>5.1278153546381038</v>
      </c>
      <c r="K59" s="14">
        <f t="shared" si="27"/>
        <v>3.3144741225069607E-2</v>
      </c>
      <c r="L59" s="14">
        <f t="shared" si="52"/>
        <v>5.9608330888222427E-2</v>
      </c>
      <c r="M59" s="14">
        <f t="shared" si="53"/>
        <v>2.3705419937162078</v>
      </c>
      <c r="N59" s="14">
        <f t="shared" si="54"/>
        <v>6.4303653840558972E-2</v>
      </c>
      <c r="O59" s="14">
        <f t="shared" si="31"/>
        <v>0.86618765796444752</v>
      </c>
      <c r="P59" s="14">
        <f t="shared" si="32"/>
        <v>1.5639626666399828</v>
      </c>
      <c r="Q59" s="14">
        <f t="shared" si="33"/>
        <v>-1.103411105487027</v>
      </c>
      <c r="R59" s="1">
        <f t="shared" si="55"/>
        <v>0.3187109360619062</v>
      </c>
      <c r="S59" s="1">
        <f t="shared" si="56"/>
        <v>-0.33907089360287246</v>
      </c>
      <c r="T59" s="1">
        <f t="shared" si="57"/>
        <v>4.8243049687670281</v>
      </c>
      <c r="U59" s="1">
        <f t="shared" si="58"/>
        <v>14.649831542152185</v>
      </c>
      <c r="V59" s="1">
        <f t="shared" si="35"/>
        <v>0</v>
      </c>
      <c r="W59" s="1">
        <f t="shared" si="59"/>
        <v>4.8243049687670281</v>
      </c>
      <c r="X59" s="1">
        <f t="shared" si="60"/>
        <v>2.7853137723704928</v>
      </c>
      <c r="Z59" s="14">
        <f t="shared" si="74"/>
        <v>2.4846701156863666</v>
      </c>
      <c r="AA59" s="14">
        <f t="shared" si="61"/>
        <v>1.1211962144027736</v>
      </c>
      <c r="AB59" s="14">
        <f t="shared" si="62"/>
        <v>5.1241663664630472</v>
      </c>
      <c r="AC59" s="14">
        <f t="shared" si="37"/>
        <v>-4.0577009399820962</v>
      </c>
      <c r="AD59" s="14">
        <f t="shared" si="38"/>
        <v>3.1292401686127449</v>
      </c>
      <c r="AE59" s="14">
        <f t="shared" si="39"/>
        <v>2.4815188267591548</v>
      </c>
      <c r="AF59" s="14">
        <f t="shared" si="63"/>
        <v>5.1278153546381082</v>
      </c>
      <c r="AG59" s="14">
        <f t="shared" si="40"/>
        <v>3.3144741225070273E-2</v>
      </c>
      <c r="AH59" s="14">
        <f t="shared" si="64"/>
        <v>5.9608330888224245E-2</v>
      </c>
      <c r="AI59" s="14">
        <f t="shared" si="65"/>
        <v>2.3705419937161945</v>
      </c>
      <c r="AJ59" s="14">
        <f t="shared" si="66"/>
        <v>-6.430365384056122E-2</v>
      </c>
      <c r="AK59" s="14">
        <f t="shared" si="41"/>
        <v>0.86618765796445096</v>
      </c>
      <c r="AL59" s="14">
        <f t="shared" si="42"/>
        <v>1.563962666639968</v>
      </c>
      <c r="AM59" s="14">
        <f t="shared" si="43"/>
        <v>1.1011903143415962</v>
      </c>
      <c r="AN59" s="1">
        <f t="shared" si="67"/>
        <v>-0.31964948295548035</v>
      </c>
      <c r="AO59" s="1">
        <f t="shared" si="68"/>
        <v>-0.33705817329439269</v>
      </c>
      <c r="AP59" s="1">
        <f t="shared" si="69"/>
        <v>4.8806916217540923</v>
      </c>
      <c r="AQ59" s="1">
        <f t="shared" si="70"/>
        <v>14.602517522428025</v>
      </c>
      <c r="AR59" s="1">
        <f t="shared" si="44"/>
        <v>0</v>
      </c>
      <c r="AS59" s="1">
        <f t="shared" si="71"/>
        <v>4.8806916217540923</v>
      </c>
      <c r="AT59" s="1">
        <f t="shared" si="72"/>
        <v>2.8178686216512761</v>
      </c>
    </row>
    <row r="60" spans="1:46" x14ac:dyDescent="0.25">
      <c r="A60" s="14">
        <f t="shared" si="46"/>
        <v>1.2566370614359181</v>
      </c>
      <c r="B60" s="14">
        <f t="shared" si="47"/>
        <v>1.545084971874733</v>
      </c>
      <c r="C60" s="14">
        <f t="shared" si="48"/>
        <v>4.7552825814757691</v>
      </c>
      <c r="D60" s="14">
        <f t="shared" si="73"/>
        <v>0.66322511575784604</v>
      </c>
      <c r="E60" s="14">
        <f t="shared" si="49"/>
        <v>1.1543409556278199</v>
      </c>
      <c r="F60" s="14">
        <f t="shared" si="50"/>
        <v>5.1315205389669591</v>
      </c>
      <c r="G60" s="14">
        <f t="shared" si="23"/>
        <v>4.0436933670597233</v>
      </c>
      <c r="H60" s="14">
        <f t="shared" si="24"/>
        <v>3.1592795056843186</v>
      </c>
      <c r="I60" s="14">
        <f t="shared" si="25"/>
        <v>0.66637640468505799</v>
      </c>
      <c r="J60" s="14">
        <f t="shared" si="51"/>
        <v>5.1352821150248262</v>
      </c>
      <c r="K60" s="14">
        <f t="shared" si="27"/>
        <v>3.3241338548583022E-2</v>
      </c>
      <c r="L60" s="14">
        <f t="shared" si="52"/>
        <v>6.2505760125525445E-2</v>
      </c>
      <c r="M60" s="14">
        <f t="shared" si="53"/>
        <v>2.3504525476466309</v>
      </c>
      <c r="N60" s="14">
        <f t="shared" si="54"/>
        <v>6.7979617590851818E-2</v>
      </c>
      <c r="O60" s="14">
        <f t="shared" si="31"/>
        <v>0.87066553402296831</v>
      </c>
      <c r="P60" s="14">
        <f t="shared" si="32"/>
        <v>1.5422927737491881</v>
      </c>
      <c r="Q60" s="14">
        <f t="shared" si="33"/>
        <v>-1.095684976055741</v>
      </c>
      <c r="R60" s="1">
        <f t="shared" si="55"/>
        <v>0.32603447339336233</v>
      </c>
      <c r="S60" s="1">
        <f t="shared" si="56"/>
        <v>-0.34122673480125965</v>
      </c>
      <c r="T60" s="1">
        <f t="shared" si="57"/>
        <v>5.0287142124165936</v>
      </c>
      <c r="U60" s="1">
        <f t="shared" si="58"/>
        <v>14.860359874689953</v>
      </c>
      <c r="V60" s="1">
        <f t="shared" si="35"/>
        <v>0</v>
      </c>
      <c r="W60" s="1">
        <f t="shared" si="59"/>
        <v>5.0287142124165936</v>
      </c>
      <c r="X60" s="1">
        <f t="shared" si="60"/>
        <v>2.9033295042164169</v>
      </c>
      <c r="Z60" s="14">
        <f t="shared" si="74"/>
        <v>2.4783675378319425</v>
      </c>
      <c r="AA60" s="14">
        <f t="shared" si="61"/>
        <v>1.1543409556278439</v>
      </c>
      <c r="AB60" s="14">
        <f t="shared" si="62"/>
        <v>5.1315205389669645</v>
      </c>
      <c r="AC60" s="14">
        <f t="shared" si="37"/>
        <v>-4.0436933670597126</v>
      </c>
      <c r="AD60" s="14">
        <f t="shared" si="38"/>
        <v>3.1592795056843408</v>
      </c>
      <c r="AE60" s="14">
        <f t="shared" si="39"/>
        <v>2.4752162489047302</v>
      </c>
      <c r="AF60" s="14">
        <f t="shared" si="63"/>
        <v>5.1352821150248316</v>
      </c>
      <c r="AG60" s="14">
        <f t="shared" si="40"/>
        <v>3.324133854858391E-2</v>
      </c>
      <c r="AH60" s="14">
        <f t="shared" si="64"/>
        <v>6.250576012552736E-2</v>
      </c>
      <c r="AI60" s="14">
        <f t="shared" si="65"/>
        <v>2.3504525476466158</v>
      </c>
      <c r="AJ60" s="14">
        <f t="shared" si="66"/>
        <v>-6.7979617590854385E-2</v>
      </c>
      <c r="AK60" s="14">
        <f t="shared" si="41"/>
        <v>0.87066553402297198</v>
      </c>
      <c r="AL60" s="14">
        <f t="shared" si="42"/>
        <v>1.542292773749171</v>
      </c>
      <c r="AM60" s="14">
        <f t="shared" si="43"/>
        <v>1.0935467369895877</v>
      </c>
      <c r="AN60" s="1">
        <f t="shared" si="67"/>
        <v>-0.32693813227068935</v>
      </c>
      <c r="AO60" s="1">
        <f t="shared" si="68"/>
        <v>-0.33928883208506611</v>
      </c>
      <c r="AP60" s="1">
        <f t="shared" si="69"/>
        <v>5.0831630647225579</v>
      </c>
      <c r="AQ60" s="1">
        <f t="shared" si="70"/>
        <v>14.814671862802761</v>
      </c>
      <c r="AR60" s="1">
        <f t="shared" si="44"/>
        <v>0</v>
      </c>
      <c r="AS60" s="1">
        <f t="shared" si="71"/>
        <v>5.0831630647225579</v>
      </c>
      <c r="AT60" s="1">
        <f t="shared" si="72"/>
        <v>2.9347655637523316</v>
      </c>
    </row>
    <row r="61" spans="1:46" x14ac:dyDescent="0.25">
      <c r="A61" s="14">
        <f t="shared" si="46"/>
        <v>1.2915436464758048</v>
      </c>
      <c r="B61" s="14">
        <f t="shared" si="47"/>
        <v>1.3781867790849915</v>
      </c>
      <c r="C61" s="14">
        <f t="shared" si="48"/>
        <v>4.8063084796915954</v>
      </c>
      <c r="D61" s="14">
        <f t="shared" si="73"/>
        <v>0.66952769361227005</v>
      </c>
      <c r="E61" s="14">
        <f t="shared" si="49"/>
        <v>1.1875822941764029</v>
      </c>
      <c r="F61" s="14">
        <f t="shared" si="50"/>
        <v>5.139100281707031</v>
      </c>
      <c r="G61" s="14">
        <f t="shared" si="23"/>
        <v>4.0296449703443864</v>
      </c>
      <c r="H61" s="14">
        <f t="shared" si="24"/>
        <v>3.1894063896624205</v>
      </c>
      <c r="I61" s="14">
        <f t="shared" si="25"/>
        <v>0.67267898253948211</v>
      </c>
      <c r="J61" s="14">
        <f t="shared" si="51"/>
        <v>5.1429752412553835</v>
      </c>
      <c r="K61" s="14">
        <f t="shared" si="27"/>
        <v>3.3341011380618513E-2</v>
      </c>
      <c r="L61" s="14">
        <f t="shared" si="52"/>
        <v>6.5442211774598344E-2</v>
      </c>
      <c r="M61" s="14">
        <f t="shared" si="53"/>
        <v>2.3303468384012174</v>
      </c>
      <c r="N61" s="14">
        <f t="shared" si="54"/>
        <v>7.1739554433663061E-2</v>
      </c>
      <c r="O61" s="14">
        <f t="shared" si="31"/>
        <v>0.87482905056610683</v>
      </c>
      <c r="P61" s="14">
        <f t="shared" si="32"/>
        <v>1.5209599996097092</v>
      </c>
      <c r="Q61" s="14">
        <f t="shared" si="33"/>
        <v>-1.0877607755251197</v>
      </c>
      <c r="R61" s="1">
        <f t="shared" si="55"/>
        <v>0.33315681271180059</v>
      </c>
      <c r="S61" s="1">
        <f t="shared" si="56"/>
        <v>-0.34306059007925116</v>
      </c>
      <c r="T61" s="1">
        <f t="shared" si="57"/>
        <v>5.2331699186554932</v>
      </c>
      <c r="U61" s="1">
        <f t="shared" si="58"/>
        <v>15.06068954468549</v>
      </c>
      <c r="V61" s="1">
        <f t="shared" si="35"/>
        <v>0</v>
      </c>
      <c r="W61" s="1">
        <f t="shared" si="59"/>
        <v>5.2331699186554932</v>
      </c>
      <c r="X61" s="1">
        <f t="shared" si="60"/>
        <v>3.0213720612508008</v>
      </c>
      <c r="Z61" s="14">
        <f t="shared" si="74"/>
        <v>2.4720649599775184</v>
      </c>
      <c r="AA61" s="14">
        <f t="shared" si="61"/>
        <v>1.1875822941764278</v>
      </c>
      <c r="AB61" s="14">
        <f t="shared" si="62"/>
        <v>5.1391002817070373</v>
      </c>
      <c r="AC61" s="14">
        <f t="shared" si="37"/>
        <v>-4.0296449703443757</v>
      </c>
      <c r="AD61" s="14">
        <f t="shared" si="38"/>
        <v>3.1894063896624441</v>
      </c>
      <c r="AE61" s="14">
        <f t="shared" si="39"/>
        <v>2.4689136710503066</v>
      </c>
      <c r="AF61" s="14">
        <f t="shared" si="63"/>
        <v>5.1429752412553889</v>
      </c>
      <c r="AG61" s="14">
        <f t="shared" si="40"/>
        <v>3.3341011380618957E-2</v>
      </c>
      <c r="AH61" s="14">
        <f t="shared" si="64"/>
        <v>6.5442211774600412E-2</v>
      </c>
      <c r="AI61" s="14">
        <f t="shared" si="65"/>
        <v>2.3303468384012032</v>
      </c>
      <c r="AJ61" s="14">
        <f t="shared" si="66"/>
        <v>-7.1739554433665947E-2</v>
      </c>
      <c r="AK61" s="14">
        <f t="shared" si="41"/>
        <v>0.8748290505661096</v>
      </c>
      <c r="AL61" s="14">
        <f t="shared" si="42"/>
        <v>1.5209599996096939</v>
      </c>
      <c r="AM61" s="14">
        <f t="shared" si="43"/>
        <v>1.0857030394895133</v>
      </c>
      <c r="AN61" s="1">
        <f t="shared" si="67"/>
        <v>-0.33402644953829214</v>
      </c>
      <c r="AO61" s="1">
        <f t="shared" si="68"/>
        <v>-0.34119564788652157</v>
      </c>
      <c r="AP61" s="1">
        <f t="shared" si="69"/>
        <v>5.2857259302100328</v>
      </c>
      <c r="AQ61" s="1">
        <f t="shared" si="70"/>
        <v>15.016589814774397</v>
      </c>
      <c r="AR61" s="1">
        <f t="shared" si="44"/>
        <v>0</v>
      </c>
      <c r="AS61" s="1">
        <f t="shared" si="71"/>
        <v>5.2857259302100328</v>
      </c>
      <c r="AT61" s="1">
        <f t="shared" si="72"/>
        <v>3.0517152886693473</v>
      </c>
    </row>
    <row r="62" spans="1:46" x14ac:dyDescent="0.25">
      <c r="A62" s="14">
        <f t="shared" si="46"/>
        <v>1.3264502315156914</v>
      </c>
      <c r="B62" s="14">
        <f t="shared" si="47"/>
        <v>1.2096094779983342</v>
      </c>
      <c r="C62" s="14">
        <f t="shared" si="48"/>
        <v>4.8514786313799831</v>
      </c>
      <c r="D62" s="14">
        <f t="shared" si="73"/>
        <v>0.67583027146669405</v>
      </c>
      <c r="E62" s="14">
        <f t="shared" si="49"/>
        <v>1.2209233055570214</v>
      </c>
      <c r="F62" s="14">
        <f t="shared" si="50"/>
        <v>5.1469071992850512</v>
      </c>
      <c r="G62" s="14">
        <f t="shared" si="23"/>
        <v>4.0155544500700335</v>
      </c>
      <c r="H62" s="14">
        <f t="shared" si="24"/>
        <v>3.2196236079043534</v>
      </c>
      <c r="I62" s="14">
        <f t="shared" si="25"/>
        <v>0.678981560393906</v>
      </c>
      <c r="J62" s="14">
        <f t="shared" si="51"/>
        <v>5.1508963648119588</v>
      </c>
      <c r="K62" s="14">
        <f t="shared" si="27"/>
        <v>3.3443794078806377E-2</v>
      </c>
      <c r="L62" s="14">
        <f t="shared" si="52"/>
        <v>6.8415831759765455E-2</v>
      </c>
      <c r="M62" s="14">
        <f t="shared" si="53"/>
        <v>2.3102335383506918</v>
      </c>
      <c r="N62" s="14">
        <f t="shared" si="54"/>
        <v>7.558058823146617E-2</v>
      </c>
      <c r="O62" s="14">
        <f t="shared" si="31"/>
        <v>0.87867986612188531</v>
      </c>
      <c r="P62" s="14">
        <f t="shared" si="32"/>
        <v>1.4999695039885721</v>
      </c>
      <c r="Q62" s="14">
        <f t="shared" si="33"/>
        <v>-1.0796522028799067</v>
      </c>
      <c r="R62" s="1">
        <f t="shared" si="55"/>
        <v>0.34007366771296255</v>
      </c>
      <c r="S62" s="1">
        <f t="shared" si="56"/>
        <v>-0.34458269432162303</v>
      </c>
      <c r="T62" s="1">
        <f t="shared" si="57"/>
        <v>5.4374416659989437</v>
      </c>
      <c r="U62" s="1">
        <f t="shared" si="58"/>
        <v>15.251016282677732</v>
      </c>
      <c r="V62" s="1">
        <f t="shared" si="35"/>
        <v>0</v>
      </c>
      <c r="W62" s="1">
        <f t="shared" si="59"/>
        <v>5.4374416659989437</v>
      </c>
      <c r="X62" s="1">
        <f t="shared" si="60"/>
        <v>3.1393084095673771</v>
      </c>
      <c r="Z62" s="14">
        <f t="shared" si="74"/>
        <v>2.4657623821230943</v>
      </c>
      <c r="AA62" s="14">
        <f t="shared" si="61"/>
        <v>1.2209233055570468</v>
      </c>
      <c r="AB62" s="14">
        <f t="shared" si="62"/>
        <v>5.1469071992850566</v>
      </c>
      <c r="AC62" s="14">
        <f t="shared" si="37"/>
        <v>-4.0155544500700211</v>
      </c>
      <c r="AD62" s="14">
        <f t="shared" si="38"/>
        <v>3.2196236079043761</v>
      </c>
      <c r="AE62" s="14">
        <f t="shared" si="39"/>
        <v>2.462611093195882</v>
      </c>
      <c r="AF62" s="14">
        <f t="shared" si="63"/>
        <v>5.150896364811965</v>
      </c>
      <c r="AG62" s="14">
        <f t="shared" si="40"/>
        <v>3.3443794078807265E-2</v>
      </c>
      <c r="AH62" s="14">
        <f t="shared" si="64"/>
        <v>6.8415831759767815E-2</v>
      </c>
      <c r="AI62" s="14">
        <f t="shared" si="65"/>
        <v>2.3102335383506754</v>
      </c>
      <c r="AJ62" s="14">
        <f t="shared" si="66"/>
        <v>-7.5580588231469376E-2</v>
      </c>
      <c r="AK62" s="14">
        <f t="shared" si="41"/>
        <v>0.8786798661218882</v>
      </c>
      <c r="AL62" s="14">
        <f t="shared" si="42"/>
        <v>1.4999695039885546</v>
      </c>
      <c r="AM62" s="14">
        <f t="shared" si="43"/>
        <v>1.0776729095206941</v>
      </c>
      <c r="AN62" s="1">
        <f t="shared" si="67"/>
        <v>-0.34091015323191048</v>
      </c>
      <c r="AO62" s="1">
        <f t="shared" si="68"/>
        <v>-0.34278884533734599</v>
      </c>
      <c r="AP62" s="1">
        <f t="shared" si="69"/>
        <v>5.4881500388325826</v>
      </c>
      <c r="AQ62" s="1">
        <f t="shared" si="70"/>
        <v>15.208466905736188</v>
      </c>
      <c r="AR62" s="1">
        <f t="shared" si="44"/>
        <v>0</v>
      </c>
      <c r="AS62" s="1">
        <f t="shared" si="71"/>
        <v>5.4881500388325826</v>
      </c>
      <c r="AT62" s="1">
        <f t="shared" si="72"/>
        <v>3.1685849022730466</v>
      </c>
    </row>
    <row r="63" spans="1:46" x14ac:dyDescent="0.25">
      <c r="A63" s="14">
        <f t="shared" si="46"/>
        <v>1.3613568165555781</v>
      </c>
      <c r="B63" s="14">
        <f t="shared" si="47"/>
        <v>1.0395584540887919</v>
      </c>
      <c r="C63" s="14">
        <f t="shared" si="48"/>
        <v>4.8907380036690293</v>
      </c>
      <c r="D63" s="14">
        <f t="shared" si="73"/>
        <v>0.68213284932111806</v>
      </c>
      <c r="E63" s="14">
        <f t="shared" si="49"/>
        <v>1.2543670996358278</v>
      </c>
      <c r="F63" s="14">
        <f t="shared" si="50"/>
        <v>5.1549429502807111</v>
      </c>
      <c r="G63" s="14">
        <f t="shared" si="23"/>
        <v>4.0014204919504337</v>
      </c>
      <c r="H63" s="14">
        <f t="shared" si="24"/>
        <v>3.249933978906026</v>
      </c>
      <c r="I63" s="14">
        <f t="shared" si="25"/>
        <v>0.68528413824833012</v>
      </c>
      <c r="J63" s="14">
        <f t="shared" si="51"/>
        <v>5.1590471715930422</v>
      </c>
      <c r="K63" s="14">
        <f t="shared" si="27"/>
        <v>3.3549722230170609E-2</v>
      </c>
      <c r="L63" s="14">
        <f t="shared" si="52"/>
        <v>7.1424832244672096E-2</v>
      </c>
      <c r="M63" s="14">
        <f t="shared" si="53"/>
        <v>2.2901212229791001</v>
      </c>
      <c r="N63" s="14">
        <f t="shared" si="54"/>
        <v>7.9499714599854346E-2</v>
      </c>
      <c r="O63" s="14">
        <f t="shared" si="31"/>
        <v>0.88222021612688584</v>
      </c>
      <c r="P63" s="14">
        <f t="shared" si="32"/>
        <v>1.4793258390968864</v>
      </c>
      <c r="Q63" s="14">
        <f t="shared" si="33"/>
        <v>-1.0713728771722544</v>
      </c>
      <c r="R63" s="1">
        <f t="shared" si="55"/>
        <v>0.34678130873028296</v>
      </c>
      <c r="S63" s="1">
        <f t="shared" si="56"/>
        <v>-0.34580346673384665</v>
      </c>
      <c r="T63" s="1">
        <f t="shared" si="57"/>
        <v>5.641309986937789</v>
      </c>
      <c r="U63" s="1">
        <f t="shared" si="58"/>
        <v>15.431546628877337</v>
      </c>
      <c r="V63" s="1">
        <f t="shared" si="35"/>
        <v>0</v>
      </c>
      <c r="W63" s="1">
        <f t="shared" si="59"/>
        <v>5.641309986937789</v>
      </c>
      <c r="X63" s="1">
        <f t="shared" si="60"/>
        <v>3.2570118395406564</v>
      </c>
      <c r="Z63" s="14">
        <f t="shared" si="74"/>
        <v>2.4594598042686702</v>
      </c>
      <c r="AA63" s="14">
        <f t="shared" si="61"/>
        <v>1.254367099635854</v>
      </c>
      <c r="AB63" s="14">
        <f t="shared" si="62"/>
        <v>5.1549429502807174</v>
      </c>
      <c r="AC63" s="14">
        <f t="shared" si="37"/>
        <v>-4.0014204919504222</v>
      </c>
      <c r="AD63" s="14">
        <f t="shared" si="38"/>
        <v>3.24993397890605</v>
      </c>
      <c r="AE63" s="14">
        <f t="shared" si="39"/>
        <v>2.4563085153414583</v>
      </c>
      <c r="AF63" s="14">
        <f t="shared" si="63"/>
        <v>5.1590471715930475</v>
      </c>
      <c r="AG63" s="14">
        <f t="shared" si="40"/>
        <v>3.3549722230171275E-2</v>
      </c>
      <c r="AH63" s="14">
        <f t="shared" si="64"/>
        <v>7.1424832244673928E-2</v>
      </c>
      <c r="AI63" s="14">
        <f t="shared" si="65"/>
        <v>2.2901212229790855</v>
      </c>
      <c r="AJ63" s="14">
        <f t="shared" si="66"/>
        <v>-7.9499714599856941E-2</v>
      </c>
      <c r="AK63" s="14">
        <f t="shared" si="41"/>
        <v>0.88222021612688861</v>
      </c>
      <c r="AL63" s="14">
        <f t="shared" si="42"/>
        <v>1.4793258390968709</v>
      </c>
      <c r="AM63" s="14">
        <f t="shared" si="43"/>
        <v>1.0694699585640184</v>
      </c>
      <c r="AN63" s="1">
        <f t="shared" si="67"/>
        <v>-0.34758551688473205</v>
      </c>
      <c r="AO63" s="1">
        <f t="shared" si="68"/>
        <v>-0.34407883678111195</v>
      </c>
      <c r="AP63" s="1">
        <f t="shared" si="69"/>
        <v>5.6902160955942804</v>
      </c>
      <c r="AQ63" s="1">
        <f t="shared" si="70"/>
        <v>15.390509531141973</v>
      </c>
      <c r="AR63" s="1">
        <f t="shared" si="44"/>
        <v>0</v>
      </c>
      <c r="AS63" s="1">
        <f t="shared" si="71"/>
        <v>5.6902160955942804</v>
      </c>
      <c r="AT63" s="1">
        <f t="shared" si="72"/>
        <v>3.285247794538499</v>
      </c>
    </row>
    <row r="64" spans="1:46" x14ac:dyDescent="0.25">
      <c r="A64" s="14">
        <f t="shared" si="46"/>
        <v>1.3962634015954647</v>
      </c>
      <c r="B64" s="14">
        <f t="shared" si="47"/>
        <v>0.86824088833464663</v>
      </c>
      <c r="C64" s="14">
        <f t="shared" si="48"/>
        <v>4.9240387650610415</v>
      </c>
      <c r="D64" s="14">
        <f t="shared" si="73"/>
        <v>0.68843542717554207</v>
      </c>
      <c r="E64" s="14">
        <f t="shared" si="49"/>
        <v>1.2879168218659984</v>
      </c>
      <c r="F64" s="14">
        <f t="shared" si="50"/>
        <v>5.1632092481368037</v>
      </c>
      <c r="G64" s="14">
        <f t="shared" si="23"/>
        <v>3.9872417666596358</v>
      </c>
      <c r="H64" s="14">
        <f t="shared" si="24"/>
        <v>3.2803403534161459</v>
      </c>
      <c r="I64" s="14">
        <f t="shared" si="25"/>
        <v>0.69158671610275402</v>
      </c>
      <c r="J64" s="14">
        <f t="shared" si="51"/>
        <v>5.1674294028155048</v>
      </c>
      <c r="K64" s="14">
        <f t="shared" si="27"/>
        <v>3.3658832678035822E-2</v>
      </c>
      <c r="L64" s="14">
        <f t="shared" si="52"/>
        <v>7.4467494604205625E-2</v>
      </c>
      <c r="M64" s="14">
        <f t="shared" si="53"/>
        <v>2.2700183642504124</v>
      </c>
      <c r="N64" s="14">
        <f t="shared" si="54"/>
        <v>8.3493804593485141E-2</v>
      </c>
      <c r="O64" s="14">
        <f t="shared" si="31"/>
        <v>0.88545290316237657</v>
      </c>
      <c r="P64" s="14">
        <f t="shared" si="32"/>
        <v>1.4590329556922412</v>
      </c>
      <c r="Q64" s="14">
        <f t="shared" si="33"/>
        <v>-1.0629363111407515</v>
      </c>
      <c r="R64" s="1">
        <f t="shared" si="55"/>
        <v>0.35327656503489496</v>
      </c>
      <c r="S64" s="1">
        <f t="shared" si="56"/>
        <v>-0.34673348435382456</v>
      </c>
      <c r="T64" s="1">
        <f t="shared" si="57"/>
        <v>5.8445668091848439</v>
      </c>
      <c r="U64" s="1">
        <f t="shared" si="58"/>
        <v>15.602497519632353</v>
      </c>
      <c r="V64" s="1">
        <f t="shared" si="35"/>
        <v>0</v>
      </c>
      <c r="W64" s="1">
        <f t="shared" si="59"/>
        <v>5.8445668091848439</v>
      </c>
      <c r="X64" s="1">
        <f t="shared" si="60"/>
        <v>3.3743622205796218</v>
      </c>
      <c r="Z64" s="14">
        <f t="shared" si="74"/>
        <v>2.4531572264142461</v>
      </c>
      <c r="AA64" s="14">
        <f t="shared" si="61"/>
        <v>1.2879168218660253</v>
      </c>
      <c r="AB64" s="14">
        <f t="shared" si="62"/>
        <v>5.1632092481368099</v>
      </c>
      <c r="AC64" s="14">
        <f t="shared" si="37"/>
        <v>-3.9872417666596243</v>
      </c>
      <c r="AD64" s="14">
        <f t="shared" si="38"/>
        <v>3.2803403534161699</v>
      </c>
      <c r="AE64" s="14">
        <f t="shared" si="39"/>
        <v>2.4500059374870338</v>
      </c>
      <c r="AF64" s="14">
        <f t="shared" si="63"/>
        <v>5.1674294028155119</v>
      </c>
      <c r="AG64" s="14">
        <f t="shared" si="40"/>
        <v>3.3658832678036266E-2</v>
      </c>
      <c r="AH64" s="14">
        <f t="shared" si="64"/>
        <v>7.4467494604208137E-2</v>
      </c>
      <c r="AI64" s="14">
        <f t="shared" si="65"/>
        <v>2.270018364250395</v>
      </c>
      <c r="AJ64" s="14">
        <f t="shared" si="66"/>
        <v>-8.3493804593488374E-2</v>
      </c>
      <c r="AK64" s="14">
        <f t="shared" si="41"/>
        <v>0.88545290316237946</v>
      </c>
      <c r="AL64" s="14">
        <f t="shared" si="42"/>
        <v>1.4590329556922239</v>
      </c>
      <c r="AM64" s="14">
        <f t="shared" si="43"/>
        <v>1.0611076954714787</v>
      </c>
      <c r="AN64" s="1">
        <f t="shared" si="67"/>
        <v>-0.35404937141043735</v>
      </c>
      <c r="AO64" s="1">
        <f t="shared" si="68"/>
        <v>-0.34507619573327264</v>
      </c>
      <c r="AP64" s="1">
        <f t="shared" si="69"/>
        <v>5.8917161313523616</v>
      </c>
      <c r="AQ64" s="1">
        <f t="shared" si="70"/>
        <v>15.562934540791835</v>
      </c>
      <c r="AR64" s="1">
        <f t="shared" si="44"/>
        <v>0</v>
      </c>
      <c r="AS64" s="1">
        <f t="shared" si="71"/>
        <v>5.8917161313523616</v>
      </c>
      <c r="AT64" s="1">
        <f t="shared" si="72"/>
        <v>3.4015838944251464</v>
      </c>
    </row>
    <row r="65" spans="1:46" x14ac:dyDescent="0.25">
      <c r="A65" s="14">
        <f t="shared" si="46"/>
        <v>1.4311699866353513</v>
      </c>
      <c r="B65" s="14">
        <f t="shared" si="47"/>
        <v>0.69586550480032194</v>
      </c>
      <c r="C65" s="14">
        <f t="shared" si="48"/>
        <v>4.9513403437078525</v>
      </c>
      <c r="D65" s="14">
        <f t="shared" si="73"/>
        <v>0.69473800502996608</v>
      </c>
      <c r="E65" s="14">
        <f t="shared" si="49"/>
        <v>1.3215756545440343</v>
      </c>
      <c r="F65" s="14">
        <f t="shared" si="50"/>
        <v>5.1717078620783967</v>
      </c>
      <c r="G65" s="14">
        <f t="shared" si="23"/>
        <v>3.9730169293010236</v>
      </c>
      <c r="H65" s="14">
        <f t="shared" si="24"/>
        <v>3.3108456155748134</v>
      </c>
      <c r="I65" s="14">
        <f t="shared" si="25"/>
        <v>0.69788929395717814</v>
      </c>
      <c r="J65" s="14">
        <f t="shared" si="51"/>
        <v>5.1760448559511234</v>
      </c>
      <c r="K65" s="14">
        <f t="shared" si="27"/>
        <v>3.3771163550061045E-2</v>
      </c>
      <c r="L65" s="14">
        <f t="shared" si="52"/>
        <v>7.7542172272753465E-2</v>
      </c>
      <c r="M65" s="14">
        <f t="shared" si="53"/>
        <v>2.2499333241223596</v>
      </c>
      <c r="N65" s="14">
        <f t="shared" si="54"/>
        <v>8.755960855189758E-2</v>
      </c>
      <c r="O65" s="14">
        <f t="shared" si="31"/>
        <v>0.88838128599728605</v>
      </c>
      <c r="P65" s="14">
        <f t="shared" si="32"/>
        <v>1.4390942103978268</v>
      </c>
      <c r="Q65" s="14">
        <f t="shared" si="33"/>
        <v>-1.0543558853313841</v>
      </c>
      <c r="R65" s="1">
        <f t="shared" si="55"/>
        <v>0.35955682584214776</v>
      </c>
      <c r="S65" s="1">
        <f t="shared" si="56"/>
        <v>-0.3473834555043207</v>
      </c>
      <c r="T65" s="1">
        <f t="shared" si="57"/>
        <v>6.0470158817096173</v>
      </c>
      <c r="U65" s="1">
        <f t="shared" si="58"/>
        <v>15.764095857305632</v>
      </c>
      <c r="V65" s="1">
        <f t="shared" si="35"/>
        <v>0</v>
      </c>
      <c r="W65" s="1">
        <f t="shared" si="59"/>
        <v>6.0470158817096173</v>
      </c>
      <c r="X65" s="1">
        <f t="shared" si="60"/>
        <v>3.4912462470989896</v>
      </c>
      <c r="Z65" s="14">
        <f t="shared" si="74"/>
        <v>2.4468546485598219</v>
      </c>
      <c r="AA65" s="14">
        <f t="shared" si="61"/>
        <v>1.3215756545440616</v>
      </c>
      <c r="AB65" s="14">
        <f t="shared" si="62"/>
        <v>5.1717078620784029</v>
      </c>
      <c r="AC65" s="14">
        <f t="shared" si="37"/>
        <v>-3.9730169293010111</v>
      </c>
      <c r="AD65" s="14">
        <f t="shared" si="38"/>
        <v>3.3108456155748383</v>
      </c>
      <c r="AE65" s="14">
        <f t="shared" si="39"/>
        <v>2.4437033596326101</v>
      </c>
      <c r="AF65" s="14">
        <f t="shared" si="63"/>
        <v>5.1760448559511296</v>
      </c>
      <c r="AG65" s="14">
        <f t="shared" si="40"/>
        <v>3.3771163550061933E-2</v>
      </c>
      <c r="AH65" s="14">
        <f t="shared" si="64"/>
        <v>7.7542172272755477E-2</v>
      </c>
      <c r="AI65" s="14">
        <f t="shared" si="65"/>
        <v>2.249933324122344</v>
      </c>
      <c r="AJ65" s="14">
        <f t="shared" si="66"/>
        <v>-8.7559608551900342E-2</v>
      </c>
      <c r="AK65" s="14">
        <f t="shared" si="41"/>
        <v>0.88838128599728838</v>
      </c>
      <c r="AL65" s="14">
        <f t="shared" si="42"/>
        <v>1.4390942103978108</v>
      </c>
      <c r="AM65" s="14">
        <f t="shared" si="43"/>
        <v>1.0525995005300763</v>
      </c>
      <c r="AN65" s="1">
        <f t="shared" si="67"/>
        <v>-0.36029910613382632</v>
      </c>
      <c r="AO65" s="1">
        <f t="shared" si="68"/>
        <v>-0.34579163028186921</v>
      </c>
      <c r="AP65" s="1">
        <f t="shared" si="69"/>
        <v>6.0924539291808513</v>
      </c>
      <c r="AQ65" s="1">
        <f t="shared" si="70"/>
        <v>15.72596880843186</v>
      </c>
      <c r="AR65" s="1">
        <f t="shared" si="44"/>
        <v>0</v>
      </c>
      <c r="AS65" s="1">
        <f t="shared" si="71"/>
        <v>6.0924539291808513</v>
      </c>
      <c r="AT65" s="1">
        <f t="shared" si="72"/>
        <v>3.5174799160379573</v>
      </c>
    </row>
    <row r="66" spans="1:46" x14ac:dyDescent="0.25">
      <c r="A66" s="14">
        <f t="shared" si="46"/>
        <v>1.466076571675238</v>
      </c>
      <c r="B66" s="14">
        <f t="shared" si="47"/>
        <v>0.52264231633826175</v>
      </c>
      <c r="C66" s="14">
        <f t="shared" si="48"/>
        <v>4.9726094768413667</v>
      </c>
      <c r="D66" s="14">
        <f t="shared" si="73"/>
        <v>0.70104058288439008</v>
      </c>
      <c r="E66" s="14">
        <f t="shared" si="49"/>
        <v>1.3553468180940953</v>
      </c>
      <c r="F66" s="14">
        <f t="shared" si="50"/>
        <v>5.1804406180669407</v>
      </c>
      <c r="G66" s="14">
        <f t="shared" si="23"/>
        <v>3.958744618864535</v>
      </c>
      <c r="H66" s="14">
        <f t="shared" si="24"/>
        <v>3.3414526840775216</v>
      </c>
      <c r="I66" s="14">
        <f t="shared" si="25"/>
        <v>0.70419187181160203</v>
      </c>
      <c r="J66" s="14">
        <f t="shared" si="51"/>
        <v>5.1848953856985149</v>
      </c>
      <c r="K66" s="14">
        <f t="shared" si="27"/>
        <v>3.3886754287414833E-2</v>
      </c>
      <c r="L66" s="14">
        <f t="shared" si="52"/>
        <v>8.0647293464153016E-2</v>
      </c>
      <c r="M66" s="14">
        <f t="shared" si="53"/>
        <v>2.2298743482143824</v>
      </c>
      <c r="N66" s="14">
        <f t="shared" si="54"/>
        <v>9.1693760099952157E-2</v>
      </c>
      <c r="O66" s="14">
        <f t="shared" si="31"/>
        <v>0.89100926746742748</v>
      </c>
      <c r="P66" s="14">
        <f t="shared" si="32"/>
        <v>1.4195123742111078</v>
      </c>
      <c r="Q66" s="14">
        <f t="shared" si="33"/>
        <v>-1.04564482277656</v>
      </c>
      <c r="R66" s="1">
        <f t="shared" si="55"/>
        <v>0.36562004002755927</v>
      </c>
      <c r="S66" s="1">
        <f t="shared" si="56"/>
        <v>-0.34776419324844254</v>
      </c>
      <c r="T66" s="1">
        <f t="shared" si="57"/>
        <v>6.2484731849698818</v>
      </c>
      <c r="U66" s="1">
        <f t="shared" si="58"/>
        <v>15.916578064172612</v>
      </c>
      <c r="V66" s="1">
        <f t="shared" si="35"/>
        <v>0</v>
      </c>
      <c r="W66" s="1">
        <f t="shared" si="59"/>
        <v>6.2484731849698818</v>
      </c>
      <c r="X66" s="1">
        <f t="shared" si="60"/>
        <v>3.6075576753665195</v>
      </c>
      <c r="Z66" s="14">
        <f t="shared" si="74"/>
        <v>2.4405520707053978</v>
      </c>
      <c r="AA66" s="14">
        <f t="shared" si="61"/>
        <v>1.3553468180941235</v>
      </c>
      <c r="AB66" s="14">
        <f t="shared" si="62"/>
        <v>5.1804406180669487</v>
      </c>
      <c r="AC66" s="14">
        <f t="shared" si="37"/>
        <v>-3.9587446188645234</v>
      </c>
      <c r="AD66" s="14">
        <f t="shared" si="38"/>
        <v>3.3414526840775478</v>
      </c>
      <c r="AE66" s="14">
        <f t="shared" si="39"/>
        <v>2.4374007817781855</v>
      </c>
      <c r="AF66" s="14">
        <f t="shared" si="63"/>
        <v>5.1848953856985229</v>
      </c>
      <c r="AG66" s="14">
        <f t="shared" si="40"/>
        <v>3.3886754287415277E-2</v>
      </c>
      <c r="AH66" s="14">
        <f t="shared" si="64"/>
        <v>8.0647293464155695E-2</v>
      </c>
      <c r="AI66" s="14">
        <f t="shared" si="65"/>
        <v>2.229874348214365</v>
      </c>
      <c r="AJ66" s="14">
        <f t="shared" si="66"/>
        <v>-9.1693760099955862E-2</v>
      </c>
      <c r="AK66" s="14">
        <f t="shared" si="41"/>
        <v>0.89100926746743003</v>
      </c>
      <c r="AL66" s="14">
        <f t="shared" si="42"/>
        <v>1.4195123742110909</v>
      </c>
      <c r="AM66" s="14">
        <f t="shared" si="43"/>
        <v>1.0439586000763137</v>
      </c>
      <c r="AN66" s="1">
        <f t="shared" si="67"/>
        <v>-0.36633266853404722</v>
      </c>
      <c r="AO66" s="1">
        <f t="shared" si="68"/>
        <v>-0.34623595648453831</v>
      </c>
      <c r="AP66" s="1">
        <f t="shared" si="69"/>
        <v>6.2922454350439558</v>
      </c>
      <c r="AQ66" s="1">
        <f t="shared" si="70"/>
        <v>15.879848785280149</v>
      </c>
      <c r="AR66" s="1">
        <f t="shared" si="44"/>
        <v>0</v>
      </c>
      <c r="AS66" s="1">
        <f t="shared" si="71"/>
        <v>6.2922454350439558</v>
      </c>
      <c r="AT66" s="1">
        <f t="shared" si="72"/>
        <v>3.6328295957298216</v>
      </c>
    </row>
    <row r="67" spans="1:46" x14ac:dyDescent="0.25">
      <c r="A67" s="14">
        <f t="shared" si="46"/>
        <v>1.5009831567151246</v>
      </c>
      <c r="B67" s="14">
        <f t="shared" si="47"/>
        <v>0.34878236872062063</v>
      </c>
      <c r="C67" s="14">
        <f t="shared" si="48"/>
        <v>4.9878202512991212</v>
      </c>
      <c r="D67" s="14">
        <f t="shared" si="73"/>
        <v>0.70734316073881409</v>
      </c>
      <c r="E67" s="14">
        <f t="shared" si="49"/>
        <v>1.3892335723815101</v>
      </c>
      <c r="F67" s="14">
        <f t="shared" si="50"/>
        <v>5.1894093997902973</v>
      </c>
      <c r="G67" s="14">
        <f t="shared" si="23"/>
        <v>3.944423457671554</v>
      </c>
      <c r="H67" s="14">
        <f t="shared" si="24"/>
        <v>3.3721645133656035</v>
      </c>
      <c r="I67" s="14">
        <f t="shared" si="25"/>
        <v>0.71049444966602615</v>
      </c>
      <c r="J67" s="14">
        <f t="shared" si="51"/>
        <v>5.1939829049915058</v>
      </c>
      <c r="K67" s="14">
        <f t="shared" si="27"/>
        <v>3.4005645675146523E-2</v>
      </c>
      <c r="L67" s="14">
        <f t="shared" si="52"/>
        <v>8.3781363758888075E-2</v>
      </c>
      <c r="M67" s="14">
        <f t="shared" si="53"/>
        <v>2.2098495596363055</v>
      </c>
      <c r="N67" s="14">
        <f t="shared" si="54"/>
        <v>9.5892780297446065E-2</v>
      </c>
      <c r="O67" s="14">
        <f t="shared" si="31"/>
        <v>0.89334128122303447</v>
      </c>
      <c r="P67" s="14">
        <f t="shared" si="32"/>
        <v>1.4002896421721589</v>
      </c>
      <c r="Q67" s="14">
        <f t="shared" si="33"/>
        <v>-1.0368161642867493</v>
      </c>
      <c r="R67" s="1">
        <f t="shared" si="55"/>
        <v>0.37146471455820845</v>
      </c>
      <c r="S67" s="1">
        <f t="shared" si="56"/>
        <v>-0.3478865889102476</v>
      </c>
      <c r="T67" s="1">
        <f t="shared" si="57"/>
        <v>6.4487673247823389</v>
      </c>
      <c r="U67" s="1">
        <f t="shared" si="58"/>
        <v>16.0601896209884</v>
      </c>
      <c r="V67" s="1">
        <f t="shared" si="35"/>
        <v>0</v>
      </c>
      <c r="W67" s="1">
        <f t="shared" si="59"/>
        <v>6.4487673247823389</v>
      </c>
      <c r="X67" s="1">
        <f t="shared" si="60"/>
        <v>3.723197550904346</v>
      </c>
      <c r="Z67" s="14">
        <f t="shared" si="74"/>
        <v>2.4342494928509737</v>
      </c>
      <c r="AA67" s="14">
        <f t="shared" si="61"/>
        <v>1.3892335723815388</v>
      </c>
      <c r="AB67" s="14">
        <f t="shared" si="62"/>
        <v>5.1894093997903052</v>
      </c>
      <c r="AC67" s="14">
        <f t="shared" si="37"/>
        <v>-3.9444234576715416</v>
      </c>
      <c r="AD67" s="14">
        <f t="shared" si="38"/>
        <v>3.3721645133656297</v>
      </c>
      <c r="AE67" s="14">
        <f t="shared" si="39"/>
        <v>2.4310982039237619</v>
      </c>
      <c r="AF67" s="14">
        <f t="shared" si="63"/>
        <v>5.1939829049915129</v>
      </c>
      <c r="AG67" s="14">
        <f t="shared" si="40"/>
        <v>3.4005645675146967E-2</v>
      </c>
      <c r="AH67" s="14">
        <f t="shared" si="64"/>
        <v>8.3781363758890601E-2</v>
      </c>
      <c r="AI67" s="14">
        <f t="shared" si="65"/>
        <v>2.209849559636289</v>
      </c>
      <c r="AJ67" s="14">
        <f t="shared" si="66"/>
        <v>-9.5892780297449465E-2</v>
      </c>
      <c r="AK67" s="14">
        <f t="shared" si="41"/>
        <v>0.89334128122303635</v>
      </c>
      <c r="AL67" s="14">
        <f t="shared" si="42"/>
        <v>1.4002896421721431</v>
      </c>
      <c r="AM67" s="14">
        <f t="shared" si="43"/>
        <v>1.0351980417161206</v>
      </c>
      <c r="AN67" s="1">
        <f t="shared" si="67"/>
        <v>-0.37214856270629265</v>
      </c>
      <c r="AO67" s="1">
        <f t="shared" si="68"/>
        <v>-0.34642007182411372</v>
      </c>
      <c r="AP67" s="1">
        <f t="shared" si="69"/>
        <v>6.4909191522200089</v>
      </c>
      <c r="AQ67" s="1">
        <f t="shared" si="70"/>
        <v>16.024820038132475</v>
      </c>
      <c r="AR67" s="1">
        <f t="shared" si="44"/>
        <v>0</v>
      </c>
      <c r="AS67" s="1">
        <f t="shared" si="71"/>
        <v>6.4909191522200089</v>
      </c>
      <c r="AT67" s="1">
        <f t="shared" si="72"/>
        <v>3.7475339198223194</v>
      </c>
    </row>
    <row r="68" spans="1:46" x14ac:dyDescent="0.25">
      <c r="A68" s="14">
        <f t="shared" si="46"/>
        <v>1.5358897417550113</v>
      </c>
      <c r="B68" s="14">
        <f t="shared" si="47"/>
        <v>0.17449748351249875</v>
      </c>
      <c r="C68" s="14">
        <f t="shared" si="48"/>
        <v>4.9969541350954785</v>
      </c>
      <c r="D68" s="14">
        <f t="shared" si="73"/>
        <v>0.7136457385932381</v>
      </c>
      <c r="E68" s="14">
        <f t="shared" si="49"/>
        <v>1.4232392180566567</v>
      </c>
      <c r="F68" s="14">
        <f t="shared" si="50"/>
        <v>5.1986161496896965</v>
      </c>
      <c r="G68" s="14">
        <f t="shared" si="23"/>
        <v>3.9300520508069536</v>
      </c>
      <c r="H68" s="14">
        <f t="shared" si="24"/>
        <v>3.4029840948441978</v>
      </c>
      <c r="I68" s="14">
        <f t="shared" si="25"/>
        <v>0.71679702752045005</v>
      </c>
      <c r="J68" s="14">
        <f t="shared" si="51"/>
        <v>5.2033093860449604</v>
      </c>
      <c r="K68" s="14">
        <f t="shared" si="27"/>
        <v>3.4127879873787403E-2</v>
      </c>
      <c r="L68" s="14">
        <f t="shared" si="52"/>
        <v>8.6942968554267419E-2</v>
      </c>
      <c r="M68" s="14">
        <f t="shared" si="53"/>
        <v>2.1898669529841928</v>
      </c>
      <c r="N68" s="14">
        <f t="shared" si="54"/>
        <v>0.10015308193223704</v>
      </c>
      <c r="O68" s="14">
        <f t="shared" si="31"/>
        <v>0.89538227737922071</v>
      </c>
      <c r="P68" s="14">
        <f t="shared" si="32"/>
        <v>1.3814276441592395</v>
      </c>
      <c r="Q68" s="14">
        <f t="shared" si="33"/>
        <v>-1.0278827444076988</v>
      </c>
      <c r="R68" s="1">
        <f t="shared" si="55"/>
        <v>0.3770899116485561</v>
      </c>
      <c r="S68" s="1">
        <f t="shared" si="56"/>
        <v>-0.34776158572217264</v>
      </c>
      <c r="T68" s="1">
        <f t="shared" si="57"/>
        <v>6.6477399092961367</v>
      </c>
      <c r="U68" s="1">
        <f t="shared" si="58"/>
        <v>16.195184590885109</v>
      </c>
      <c r="V68" s="1">
        <f t="shared" si="35"/>
        <v>0</v>
      </c>
      <c r="W68" s="1">
        <f t="shared" si="59"/>
        <v>6.6477399092961367</v>
      </c>
      <c r="X68" s="1">
        <f t="shared" si="60"/>
        <v>3.8380744261347428</v>
      </c>
      <c r="Z68" s="14">
        <f t="shared" si="74"/>
        <v>2.4279469149965496</v>
      </c>
      <c r="AA68" s="14">
        <f t="shared" si="61"/>
        <v>1.4232392180566857</v>
      </c>
      <c r="AB68" s="14">
        <f t="shared" si="62"/>
        <v>5.1986161496897045</v>
      </c>
      <c r="AC68" s="14">
        <f t="shared" si="37"/>
        <v>-3.9300520508069403</v>
      </c>
      <c r="AD68" s="14">
        <f t="shared" si="38"/>
        <v>3.4029840948442249</v>
      </c>
      <c r="AE68" s="14">
        <f t="shared" si="39"/>
        <v>2.4247956260693373</v>
      </c>
      <c r="AF68" s="14">
        <f t="shared" si="63"/>
        <v>5.2033093860449693</v>
      </c>
      <c r="AG68" s="14">
        <f t="shared" si="40"/>
        <v>3.4127879873788514E-2</v>
      </c>
      <c r="AH68" s="14">
        <f t="shared" si="64"/>
        <v>8.6942968554270125E-2</v>
      </c>
      <c r="AI68" s="14">
        <f t="shared" si="65"/>
        <v>2.189866952984175</v>
      </c>
      <c r="AJ68" s="14">
        <f t="shared" si="66"/>
        <v>-0.1001530819322409</v>
      </c>
      <c r="AK68" s="14">
        <f t="shared" si="41"/>
        <v>0.89538227737922282</v>
      </c>
      <c r="AL68" s="14">
        <f t="shared" si="42"/>
        <v>1.3814276441592219</v>
      </c>
      <c r="AM68" s="14">
        <f t="shared" si="43"/>
        <v>1.0263306702032882</v>
      </c>
      <c r="AN68" s="1">
        <f t="shared" si="67"/>
        <v>-0.37774584655091853</v>
      </c>
      <c r="AO68" s="1">
        <f t="shared" si="68"/>
        <v>-0.3463549287846639</v>
      </c>
      <c r="AP68" s="1">
        <f t="shared" si="69"/>
        <v>6.688316518938513</v>
      </c>
      <c r="AQ68" s="1">
        <f t="shared" si="70"/>
        <v>16.161136772700686</v>
      </c>
      <c r="AR68" s="1">
        <f t="shared" si="44"/>
        <v>0</v>
      </c>
      <c r="AS68" s="1">
        <f t="shared" si="71"/>
        <v>6.688316518938513</v>
      </c>
      <c r="AT68" s="1">
        <f t="shared" si="72"/>
        <v>3.861501342634571</v>
      </c>
    </row>
    <row r="69" spans="1:46" x14ac:dyDescent="0.25">
      <c r="A69" s="14">
        <f t="shared" si="46"/>
        <v>1.5707963267948979</v>
      </c>
      <c r="B69" s="14">
        <f t="shared" si="47"/>
        <v>-6.3550510340237842E-15</v>
      </c>
      <c r="C69" s="14">
        <f t="shared" si="48"/>
        <v>5</v>
      </c>
      <c r="D69" s="14">
        <f t="shared" si="73"/>
        <v>0.71994831644766211</v>
      </c>
      <c r="E69" s="14">
        <f t="shared" si="49"/>
        <v>1.4573670979304441</v>
      </c>
      <c r="F69" s="14">
        <f t="shared" si="50"/>
        <v>5.2080628700247278</v>
      </c>
      <c r="G69" s="14">
        <f t="shared" si="23"/>
        <v>3.9156289855377979</v>
      </c>
      <c r="H69" s="14">
        <f t="shared" si="24"/>
        <v>3.4339144581288625</v>
      </c>
      <c r="I69" s="14">
        <f t="shared" si="25"/>
        <v>0.72309960537487417</v>
      </c>
      <c r="J69" s="14">
        <f t="shared" si="51"/>
        <v>5.2128768614392067</v>
      </c>
      <c r="K69" s="14">
        <f t="shared" si="27"/>
        <v>3.4253500452229524E-2</v>
      </c>
      <c r="L69" s="14">
        <f t="shared" si="52"/>
        <v>9.0130775373548896E-2</v>
      </c>
      <c r="M69" s="14">
        <f t="shared" si="53"/>
        <v>2.1699343885095637</v>
      </c>
      <c r="N69" s="14">
        <f t="shared" si="54"/>
        <v>0.10447097395105355</v>
      </c>
      <c r="O69" s="14">
        <f t="shared" si="31"/>
        <v>0.89713770710644669</v>
      </c>
      <c r="P69" s="14">
        <f t="shared" si="32"/>
        <v>1.3629274567766658</v>
      </c>
      <c r="Q69" s="14">
        <f t="shared" si="33"/>
        <v>-1.0188571680943437</v>
      </c>
      <c r="R69" s="1">
        <f t="shared" si="55"/>
        <v>0.3824952446526948</v>
      </c>
      <c r="S69" s="1">
        <f t="shared" si="56"/>
        <v>-0.34740015266038593</v>
      </c>
      <c r="T69" s="1">
        <f t="shared" si="57"/>
        <v>6.8452459085640198</v>
      </c>
      <c r="U69" s="1">
        <f t="shared" si="58"/>
        <v>16.321825129285688</v>
      </c>
      <c r="V69" s="1">
        <f t="shared" si="35"/>
        <v>0</v>
      </c>
      <c r="W69" s="1">
        <f t="shared" si="59"/>
        <v>6.8452459085640198</v>
      </c>
      <c r="X69" s="1">
        <f t="shared" si="60"/>
        <v>3.9521045679786209</v>
      </c>
      <c r="Z69" s="14">
        <f t="shared" si="74"/>
        <v>2.4216443371421255</v>
      </c>
      <c r="AA69" s="14">
        <f t="shared" si="61"/>
        <v>1.4573670979304743</v>
      </c>
      <c r="AB69" s="14">
        <f t="shared" si="62"/>
        <v>5.2080628700247367</v>
      </c>
      <c r="AC69" s="14">
        <f t="shared" si="37"/>
        <v>-3.9156289855377855</v>
      </c>
      <c r="AD69" s="14">
        <f t="shared" si="38"/>
        <v>3.4339144581288905</v>
      </c>
      <c r="AE69" s="14">
        <f t="shared" si="39"/>
        <v>2.4184930482149136</v>
      </c>
      <c r="AF69" s="14">
        <f t="shared" si="63"/>
        <v>5.2128768614392156</v>
      </c>
      <c r="AG69" s="14">
        <f t="shared" si="40"/>
        <v>3.4253500452229968E-2</v>
      </c>
      <c r="AH69" s="14">
        <f t="shared" si="64"/>
        <v>9.0130775373551825E-2</v>
      </c>
      <c r="AI69" s="14">
        <f t="shared" si="65"/>
        <v>2.1699343885095459</v>
      </c>
      <c r="AJ69" s="14">
        <f t="shared" si="66"/>
        <v>-0.10447097395105739</v>
      </c>
      <c r="AK69" s="14">
        <f t="shared" si="41"/>
        <v>0.89713770710644791</v>
      </c>
      <c r="AL69" s="14">
        <f t="shared" si="42"/>
        <v>1.3629274567766498</v>
      </c>
      <c r="AM69" s="14">
        <f t="shared" si="43"/>
        <v>1.0173691040278343</v>
      </c>
      <c r="AN69" s="1">
        <f t="shared" si="67"/>
        <v>-0.38312412770184284</v>
      </c>
      <c r="AO69" s="1">
        <f t="shared" si="68"/>
        <v>-0.34605150860930578</v>
      </c>
      <c r="AP69" s="1">
        <f t="shared" si="69"/>
        <v>6.8842922687243249</v>
      </c>
      <c r="AQ69" s="1">
        <f t="shared" si="70"/>
        <v>16.289061342876817</v>
      </c>
      <c r="AR69" s="1">
        <f t="shared" si="44"/>
        <v>0</v>
      </c>
      <c r="AS69" s="1">
        <f t="shared" si="71"/>
        <v>6.8842922687243249</v>
      </c>
      <c r="AT69" s="1">
        <f t="shared" si="72"/>
        <v>3.9746479945280484</v>
      </c>
    </row>
    <row r="70" spans="1:46" x14ac:dyDescent="0.25">
      <c r="A70" s="14">
        <f t="shared" si="46"/>
        <v>1.6057029118347845</v>
      </c>
      <c r="B70" s="14">
        <f t="shared" si="47"/>
        <v>-0.17449748351251143</v>
      </c>
      <c r="C70" s="14">
        <f t="shared" si="48"/>
        <v>4.9969541350954785</v>
      </c>
      <c r="D70" s="14">
        <f t="shared" si="73"/>
        <v>0.72625089430208611</v>
      </c>
      <c r="E70" s="14">
        <f t="shared" si="49"/>
        <v>1.4916205983826736</v>
      </c>
      <c r="F70" s="14">
        <f t="shared" si="50"/>
        <v>5.2177516239774668</v>
      </c>
      <c r="G70" s="14">
        <f t="shared" si="23"/>
        <v>3.9011528307181429</v>
      </c>
      <c r="H70" s="14">
        <f t="shared" si="24"/>
        <v>3.4649586723219823</v>
      </c>
      <c r="I70" s="14">
        <f t="shared" si="25"/>
        <v>0.72940218322929806</v>
      </c>
      <c r="J70" s="14">
        <f t="shared" si="51"/>
        <v>5.2226874252441595</v>
      </c>
      <c r="K70" s="14">
        <f t="shared" si="27"/>
        <v>3.4382552421920787E-2</v>
      </c>
      <c r="L70" s="14">
        <f t="shared" si="52"/>
        <v>9.3343536030155216E-2</v>
      </c>
      <c r="M70" s="14">
        <f t="shared" si="53"/>
        <v>2.1500595864679628</v>
      </c>
      <c r="N70" s="14">
        <f t="shared" si="54"/>
        <v>0.10884266602194106</v>
      </c>
      <c r="O70" s="14">
        <f t="shared" si="31"/>
        <v>0.89861350620047498</v>
      </c>
      <c r="P70" s="14">
        <f t="shared" si="32"/>
        <v>1.3447896162976432</v>
      </c>
      <c r="Q70" s="14">
        <f t="shared" si="33"/>
        <v>-1.0097517881506957</v>
      </c>
      <c r="R70" s="1">
        <f t="shared" si="55"/>
        <v>0.38768087270798735</v>
      </c>
      <c r="S70" s="1">
        <f t="shared" si="56"/>
        <v>-0.34681325852850498</v>
      </c>
      <c r="T70" s="1">
        <f t="shared" si="57"/>
        <v>7.0411539962318308</v>
      </c>
      <c r="U70" s="1">
        <f t="shared" si="58"/>
        <v>16.440380980536609</v>
      </c>
      <c r="V70" s="1">
        <f t="shared" si="35"/>
        <v>0</v>
      </c>
      <c r="W70" s="1">
        <f t="shared" si="59"/>
        <v>7.0411539962318308</v>
      </c>
      <c r="X70" s="1">
        <f t="shared" si="60"/>
        <v>4.0652121551300562</v>
      </c>
      <c r="Z70" s="14">
        <f t="shared" si="74"/>
        <v>2.4153417592877013</v>
      </c>
      <c r="AA70" s="14">
        <f t="shared" si="61"/>
        <v>1.4916205983827042</v>
      </c>
      <c r="AB70" s="14">
        <f t="shared" si="62"/>
        <v>5.2177516239774748</v>
      </c>
      <c r="AC70" s="14">
        <f t="shared" si="37"/>
        <v>-3.9011528307181287</v>
      </c>
      <c r="AD70" s="14">
        <f t="shared" si="38"/>
        <v>3.4649586723220098</v>
      </c>
      <c r="AE70" s="14">
        <f t="shared" si="39"/>
        <v>2.4121904703604891</v>
      </c>
      <c r="AF70" s="14">
        <f t="shared" si="63"/>
        <v>5.2226874252441693</v>
      </c>
      <c r="AG70" s="14">
        <f t="shared" si="40"/>
        <v>3.4382552421922119E-2</v>
      </c>
      <c r="AH70" s="14">
        <f t="shared" si="64"/>
        <v>9.3343536030158422E-2</v>
      </c>
      <c r="AI70" s="14">
        <f t="shared" si="65"/>
        <v>2.1500595864679433</v>
      </c>
      <c r="AJ70" s="14">
        <f t="shared" si="66"/>
        <v>-0.10884266602194553</v>
      </c>
      <c r="AK70" s="14">
        <f t="shared" si="41"/>
        <v>0.89861350620047598</v>
      </c>
      <c r="AL70" s="14">
        <f t="shared" si="42"/>
        <v>1.3447896162976261</v>
      </c>
      <c r="AM70" s="14">
        <f t="shared" si="43"/>
        <v>1.008325712763771</v>
      </c>
      <c r="AN70" s="1">
        <f t="shared" si="67"/>
        <v>-0.38828355820912147</v>
      </c>
      <c r="AO70" s="1">
        <f t="shared" si="68"/>
        <v>-0.345520795300441</v>
      </c>
      <c r="AP70" s="1">
        <f t="shared" si="69"/>
        <v>7.0787147729713906</v>
      </c>
      <c r="AQ70" s="1">
        <f t="shared" si="70"/>
        <v>16.408863746628747</v>
      </c>
      <c r="AR70" s="1">
        <f t="shared" si="44"/>
        <v>0</v>
      </c>
      <c r="AS70" s="1">
        <f t="shared" si="71"/>
        <v>7.0787147729713906</v>
      </c>
      <c r="AT70" s="1">
        <f t="shared" si="72"/>
        <v>4.0868978796916124</v>
      </c>
    </row>
    <row r="71" spans="1:46" x14ac:dyDescent="0.25">
      <c r="A71" s="14">
        <f t="shared" si="46"/>
        <v>1.6406094968746712</v>
      </c>
      <c r="B71" s="14">
        <f t="shared" si="47"/>
        <v>-0.34878236872063328</v>
      </c>
      <c r="C71" s="14">
        <f t="shared" si="48"/>
        <v>4.9878202512991212</v>
      </c>
      <c r="D71" s="14">
        <f t="shared" si="73"/>
        <v>0.73255347215651012</v>
      </c>
      <c r="E71" s="14">
        <f t="shared" si="49"/>
        <v>1.5260031508045944</v>
      </c>
      <c r="F71" s="14">
        <f t="shared" si="50"/>
        <v>5.2276845367969127</v>
      </c>
      <c r="G71" s="14">
        <f t="shared" si="23"/>
        <v>3.8866221361793816</v>
      </c>
      <c r="H71" s="14">
        <f t="shared" si="24"/>
        <v>3.4961198473201649</v>
      </c>
      <c r="I71" s="14">
        <f t="shared" si="25"/>
        <v>0.73570476108372218</v>
      </c>
      <c r="J71" s="14">
        <f t="shared" si="51"/>
        <v>5.2327432341843796</v>
      </c>
      <c r="K71" s="14">
        <f t="shared" si="27"/>
        <v>3.4515082272436048E-2</v>
      </c>
      <c r="L71" s="14">
        <f t="shared" si="52"/>
        <v>9.6580088643370143E-2</v>
      </c>
      <c r="M71" s="14">
        <f t="shared" si="53"/>
        <v>2.1302501216526046</v>
      </c>
      <c r="N71" s="14">
        <f t="shared" si="54"/>
        <v>0.11326427322216955</v>
      </c>
      <c r="O71" s="14">
        <f t="shared" si="31"/>
        <v>0.89981607767355132</v>
      </c>
      <c r="P71" s="14">
        <f t="shared" si="32"/>
        <v>1.3270141326224232</v>
      </c>
      <c r="Q71" s="14">
        <f t="shared" si="33"/>
        <v>-1.0005786834829464</v>
      </c>
      <c r="R71" s="1">
        <f t="shared" si="55"/>
        <v>0.39264749414795425</v>
      </c>
      <c r="S71" s="1">
        <f t="shared" si="56"/>
        <v>-0.34601184634924331</v>
      </c>
      <c r="T71" s="1">
        <f t="shared" si="57"/>
        <v>7.2353468729003554</v>
      </c>
      <c r="U71" s="1">
        <f t="shared" si="58"/>
        <v>16.551128961988262</v>
      </c>
      <c r="V71" s="1">
        <f t="shared" si="35"/>
        <v>0</v>
      </c>
      <c r="W71" s="1">
        <f t="shared" si="59"/>
        <v>7.2353468729003554</v>
      </c>
      <c r="X71" s="1">
        <f t="shared" si="60"/>
        <v>4.1773294647493371</v>
      </c>
      <c r="Z71" s="14">
        <f t="shared" si="74"/>
        <v>2.4090391814332772</v>
      </c>
      <c r="AA71" s="14">
        <f t="shared" si="61"/>
        <v>1.5260031508046263</v>
      </c>
      <c r="AB71" s="14">
        <f t="shared" si="62"/>
        <v>5.2276845367969225</v>
      </c>
      <c r="AC71" s="14">
        <f t="shared" si="37"/>
        <v>-3.8866221361793687</v>
      </c>
      <c r="AD71" s="14">
        <f t="shared" si="38"/>
        <v>3.4961198473201938</v>
      </c>
      <c r="AE71" s="14">
        <f t="shared" si="39"/>
        <v>2.4058878925060654</v>
      </c>
      <c r="AF71" s="14">
        <f t="shared" si="63"/>
        <v>5.2327432341843885</v>
      </c>
      <c r="AG71" s="14">
        <f t="shared" si="40"/>
        <v>3.4515082272436493E-2</v>
      </c>
      <c r="AH71" s="14">
        <f t="shared" si="64"/>
        <v>9.6580088643372974E-2</v>
      </c>
      <c r="AI71" s="14">
        <f t="shared" si="65"/>
        <v>2.1302501216525869</v>
      </c>
      <c r="AJ71" s="14">
        <f t="shared" si="66"/>
        <v>-0.11326427322217354</v>
      </c>
      <c r="AK71" s="14">
        <f t="shared" si="41"/>
        <v>0.89981607767355232</v>
      </c>
      <c r="AL71" s="14">
        <f t="shared" si="42"/>
        <v>1.3270141326224072</v>
      </c>
      <c r="AM71" s="14">
        <f t="shared" si="43"/>
        <v>0.99921259522380168</v>
      </c>
      <c r="AN71" s="1">
        <f t="shared" si="67"/>
        <v>-0.39322482799341923</v>
      </c>
      <c r="AO71" s="1">
        <f t="shared" si="68"/>
        <v>-0.34477374992220777</v>
      </c>
      <c r="AP71" s="1">
        <f t="shared" si="69"/>
        <v>7.2714663652925999</v>
      </c>
      <c r="AQ71" s="1">
        <f t="shared" si="70"/>
        <v>16.520821109244071</v>
      </c>
      <c r="AR71" s="1">
        <f t="shared" si="44"/>
        <v>0</v>
      </c>
      <c r="AS71" s="1">
        <f t="shared" si="71"/>
        <v>7.2714663652925999</v>
      </c>
      <c r="AT71" s="1">
        <f t="shared" si="72"/>
        <v>4.1981830634049917</v>
      </c>
    </row>
    <row r="72" spans="1:46" x14ac:dyDescent="0.25">
      <c r="A72" s="14">
        <f t="shared" si="46"/>
        <v>1.6755160819145578</v>
      </c>
      <c r="B72" s="14">
        <f t="shared" si="47"/>
        <v>-0.5226423163382744</v>
      </c>
      <c r="C72" s="14">
        <f t="shared" si="48"/>
        <v>4.9726094768413658</v>
      </c>
      <c r="D72" s="14">
        <f t="shared" si="73"/>
        <v>0.73885605001093413</v>
      </c>
      <c r="E72" s="14">
        <f t="shared" si="49"/>
        <v>1.5605182330770304</v>
      </c>
      <c r="F72" s="14">
        <f t="shared" si="50"/>
        <v>5.2378637969849757</v>
      </c>
      <c r="G72" s="14">
        <f t="shared" si="23"/>
        <v>3.8720354321055681</v>
      </c>
      <c r="H72" s="14">
        <f t="shared" si="24"/>
        <v>3.5274011351538843</v>
      </c>
      <c r="I72" s="14">
        <f t="shared" si="25"/>
        <v>0.74200733893814608</v>
      </c>
      <c r="J72" s="14">
        <f t="shared" si="51"/>
        <v>5.243046508846299</v>
      </c>
      <c r="K72" s="14">
        <f t="shared" si="27"/>
        <v>3.4651138008456428E-2</v>
      </c>
      <c r="L72" s="14">
        <f t="shared" si="52"/>
        <v>9.9839359502112937E-2</v>
      </c>
      <c r="M72" s="14">
        <f t="shared" si="53"/>
        <v>2.1105134181185807</v>
      </c>
      <c r="N72" s="14">
        <f t="shared" si="54"/>
        <v>0.11773182084522656</v>
      </c>
      <c r="O72" s="14">
        <f t="shared" si="31"/>
        <v>0.90075227341074249</v>
      </c>
      <c r="P72" s="14">
        <f t="shared" si="32"/>
        <v>1.3096005042099514</v>
      </c>
      <c r="Q72" s="14">
        <f t="shared" si="33"/>
        <v>-0.99134963821092237</v>
      </c>
      <c r="R72" s="1">
        <f t="shared" si="55"/>
        <v>0.39739633870515023</v>
      </c>
      <c r="S72" s="1">
        <f t="shared" si="56"/>
        <v>-0.34500680812257134</v>
      </c>
      <c r="T72" s="1">
        <f t="shared" si="57"/>
        <v>7.4277215707380808</v>
      </c>
      <c r="U72" s="1">
        <f t="shared" si="58"/>
        <v>16.654352436255863</v>
      </c>
      <c r="V72" s="1">
        <f t="shared" si="35"/>
        <v>0</v>
      </c>
      <c r="W72" s="1">
        <f t="shared" si="59"/>
        <v>7.4277215707380808</v>
      </c>
      <c r="X72" s="1">
        <f t="shared" si="60"/>
        <v>4.2883970483312206</v>
      </c>
      <c r="Z72" s="14">
        <f t="shared" si="74"/>
        <v>2.4027366035788531</v>
      </c>
      <c r="AA72" s="14">
        <f t="shared" si="61"/>
        <v>1.5605182330770628</v>
      </c>
      <c r="AB72" s="14">
        <f t="shared" si="62"/>
        <v>5.2378637969849846</v>
      </c>
      <c r="AC72" s="14">
        <f t="shared" si="37"/>
        <v>-3.8720354321055539</v>
      </c>
      <c r="AD72" s="14">
        <f t="shared" si="38"/>
        <v>3.5274011351539132</v>
      </c>
      <c r="AE72" s="14">
        <f t="shared" si="39"/>
        <v>2.3995853146516408</v>
      </c>
      <c r="AF72" s="14">
        <f t="shared" si="63"/>
        <v>5.2430465088463096</v>
      </c>
      <c r="AG72" s="14">
        <f t="shared" si="40"/>
        <v>3.4651138008456872E-2</v>
      </c>
      <c r="AH72" s="14">
        <f t="shared" si="64"/>
        <v>9.9839359502116129E-2</v>
      </c>
      <c r="AI72" s="14">
        <f t="shared" si="65"/>
        <v>2.1105134181185607</v>
      </c>
      <c r="AJ72" s="14">
        <f t="shared" si="66"/>
        <v>-0.11773182084523089</v>
      </c>
      <c r="AK72" s="14">
        <f t="shared" si="41"/>
        <v>0.90075227341074315</v>
      </c>
      <c r="AL72" s="14">
        <f t="shared" si="42"/>
        <v>1.3096005042099339</v>
      </c>
      <c r="AM72" s="14">
        <f t="shared" si="43"/>
        <v>0.99004155846631803</v>
      </c>
      <c r="AN72" s="1">
        <f t="shared" si="67"/>
        <v>-0.39794915709303363</v>
      </c>
      <c r="AO72" s="1">
        <f t="shared" si="68"/>
        <v>-0.34382128526397893</v>
      </c>
      <c r="AP72" s="1">
        <f t="shared" si="69"/>
        <v>7.4624436472323357</v>
      </c>
      <c r="AQ72" s="1">
        <f t="shared" si="70"/>
        <v>16.625217154676278</v>
      </c>
      <c r="AR72" s="1">
        <f t="shared" si="44"/>
        <v>0</v>
      </c>
      <c r="AS72" s="1">
        <f t="shared" si="71"/>
        <v>7.4624436472323357</v>
      </c>
      <c r="AT72" s="1">
        <f t="shared" si="72"/>
        <v>4.3084438485420016</v>
      </c>
    </row>
    <row r="73" spans="1:46" x14ac:dyDescent="0.25">
      <c r="A73" s="14">
        <f t="shared" si="46"/>
        <v>1.7104226669544444</v>
      </c>
      <c r="B73" s="14">
        <f t="shared" si="47"/>
        <v>-0.69586550480033438</v>
      </c>
      <c r="C73" s="14">
        <f t="shared" si="48"/>
        <v>4.9513403437078507</v>
      </c>
      <c r="D73" s="14">
        <f t="shared" si="73"/>
        <v>0.74515862786535814</v>
      </c>
      <c r="E73" s="14">
        <f t="shared" si="49"/>
        <v>1.5951693710854868</v>
      </c>
      <c r="F73" s="14">
        <f t="shared" si="50"/>
        <v>5.2482916575252627</v>
      </c>
      <c r="G73" s="14">
        <f t="shared" si="23"/>
        <v>3.8573912283930971</v>
      </c>
      <c r="H73" s="14">
        <f t="shared" si="24"/>
        <v>3.5588057313606294</v>
      </c>
      <c r="I73" s="14">
        <f t="shared" si="25"/>
        <v>0.7483099167925702</v>
      </c>
      <c r="J73" s="14">
        <f t="shared" si="51"/>
        <v>5.2535995349289211</v>
      </c>
      <c r="K73" s="14">
        <f t="shared" si="27"/>
        <v>3.4790769188228987E-2</v>
      </c>
      <c r="L73" s="14">
        <f t="shared" si="52"/>
        <v>0.10312036477361493</v>
      </c>
      <c r="M73" s="14">
        <f t="shared" si="53"/>
        <v>2.0908567441028674</v>
      </c>
      <c r="N73" s="14">
        <f t="shared" si="54"/>
        <v>0.12224124932038088</v>
      </c>
      <c r="O73" s="14">
        <f t="shared" si="31"/>
        <v>0.90142937493742148</v>
      </c>
      <c r="P73" s="14">
        <f t="shared" si="32"/>
        <v>1.292547733939061</v>
      </c>
      <c r="Q73" s="14">
        <f t="shared" si="33"/>
        <v>-0.98207612168080693</v>
      </c>
      <c r="R73" s="1">
        <f t="shared" si="55"/>
        <v>0.40192915852757477</v>
      </c>
      <c r="S73" s="1">
        <f t="shared" si="56"/>
        <v>-0.34380896000786187</v>
      </c>
      <c r="T73" s="1">
        <f t="shared" si="57"/>
        <v>7.6181897389618651</v>
      </c>
      <c r="U73" s="1">
        <f t="shared" si="58"/>
        <v>16.750340772428526</v>
      </c>
      <c r="V73" s="1">
        <f t="shared" si="35"/>
        <v>0</v>
      </c>
      <c r="W73" s="1">
        <f t="shared" si="59"/>
        <v>7.6181897389618651</v>
      </c>
      <c r="X73" s="1">
        <f t="shared" si="60"/>
        <v>4.3983638965272771</v>
      </c>
      <c r="Z73" s="14">
        <f t="shared" si="74"/>
        <v>2.396434025724429</v>
      </c>
      <c r="AA73" s="14">
        <f t="shared" si="61"/>
        <v>1.5951693710855197</v>
      </c>
      <c r="AB73" s="14">
        <f t="shared" si="62"/>
        <v>5.2482916575252725</v>
      </c>
      <c r="AC73" s="14">
        <f t="shared" si="37"/>
        <v>-3.857391228393082</v>
      </c>
      <c r="AD73" s="14">
        <f t="shared" si="38"/>
        <v>3.55880573136066</v>
      </c>
      <c r="AE73" s="14">
        <f t="shared" si="39"/>
        <v>2.3932827367972171</v>
      </c>
      <c r="AF73" s="14">
        <f t="shared" si="63"/>
        <v>5.2535995349289308</v>
      </c>
      <c r="AG73" s="14">
        <f t="shared" si="40"/>
        <v>3.4790769188230097E-2</v>
      </c>
      <c r="AH73" s="14">
        <f t="shared" si="64"/>
        <v>0.10312036477361801</v>
      </c>
      <c r="AI73" s="14">
        <f t="shared" si="65"/>
        <v>2.0908567441028492</v>
      </c>
      <c r="AJ73" s="14">
        <f t="shared" si="66"/>
        <v>-0.12224124932038517</v>
      </c>
      <c r="AK73" s="14">
        <f t="shared" si="41"/>
        <v>0.90142937493742203</v>
      </c>
      <c r="AL73" s="14">
        <f t="shared" si="42"/>
        <v>1.2925477339390452</v>
      </c>
      <c r="AM73" s="14">
        <f t="shared" si="43"/>
        <v>0.98082409769794854</v>
      </c>
      <c r="AN73" s="1">
        <f t="shared" si="67"/>
        <v>-0.40245828672686856</v>
      </c>
      <c r="AO73" s="1">
        <f t="shared" si="68"/>
        <v>-0.3426742409226472</v>
      </c>
      <c r="AP73" s="1">
        <f t="shared" si="69"/>
        <v>7.6515577749472072</v>
      </c>
      <c r="AQ73" s="1">
        <f t="shared" si="70"/>
        <v>16.722341665741002</v>
      </c>
      <c r="AR73" s="1">
        <f t="shared" si="44"/>
        <v>0</v>
      </c>
      <c r="AS73" s="1">
        <f t="shared" si="71"/>
        <v>7.6515577749472072</v>
      </c>
      <c r="AT73" s="1">
        <f t="shared" si="72"/>
        <v>4.4176289410857441</v>
      </c>
    </row>
    <row r="74" spans="1:46" x14ac:dyDescent="0.25">
      <c r="A74" s="14">
        <f t="shared" si="46"/>
        <v>1.7453292519943311</v>
      </c>
      <c r="B74" s="14">
        <f t="shared" si="47"/>
        <v>-0.86824088833465918</v>
      </c>
      <c r="C74" s="14">
        <f t="shared" si="48"/>
        <v>4.9240387650610389</v>
      </c>
      <c r="D74" s="14">
        <f t="shared" si="73"/>
        <v>0.75146120571978214</v>
      </c>
      <c r="E74" s="14">
        <f t="shared" si="49"/>
        <v>1.6299601402737158</v>
      </c>
      <c r="F74" s="14">
        <f t="shared" si="50"/>
        <v>5.2589704371560329</v>
      </c>
      <c r="G74" s="14">
        <f t="shared" si="23"/>
        <v>3.8426880139941457</v>
      </c>
      <c r="H74" s="14">
        <f t="shared" si="24"/>
        <v>3.5903368763929162</v>
      </c>
      <c r="I74" s="14">
        <f t="shared" si="25"/>
        <v>0.75461249464699409</v>
      </c>
      <c r="J74" s="14">
        <f t="shared" si="51"/>
        <v>5.2644046645393541</v>
      </c>
      <c r="K74" s="14">
        <f t="shared" si="27"/>
        <v>3.4934026963545417E-2</v>
      </c>
      <c r="L74" s="14">
        <f t="shared" si="52"/>
        <v>0.10642221205406244</v>
      </c>
      <c r="M74" s="14">
        <f t="shared" si="53"/>
        <v>2.0712872071451165</v>
      </c>
      <c r="N74" s="14">
        <f t="shared" si="54"/>
        <v>0.12678841923815476</v>
      </c>
      <c r="O74" s="14">
        <f t="shared" si="31"/>
        <v>0.90185507334585091</v>
      </c>
      <c r="P74" s="14">
        <f t="shared" si="32"/>
        <v>1.2758543458533278</v>
      </c>
      <c r="Q74" s="14">
        <f t="shared" si="33"/>
        <v>-0.97276926941974351</v>
      </c>
      <c r="R74" s="1">
        <f t="shared" si="55"/>
        <v>0.40624821803491157</v>
      </c>
      <c r="S74" s="1">
        <f t="shared" si="56"/>
        <v>-0.34242901798621594</v>
      </c>
      <c r="T74" s="1">
        <f t="shared" si="57"/>
        <v>7.8066779098271466</v>
      </c>
      <c r="U74" s="1">
        <f t="shared" si="58"/>
        <v>16.83938879699193</v>
      </c>
      <c r="V74" s="1">
        <f t="shared" si="35"/>
        <v>0</v>
      </c>
      <c r="W74" s="1">
        <f t="shared" si="59"/>
        <v>7.8066779098271466</v>
      </c>
      <c r="X74" s="1">
        <f t="shared" si="60"/>
        <v>4.5071875927154075</v>
      </c>
      <c r="Z74" s="14">
        <f t="shared" si="74"/>
        <v>2.3901314478700049</v>
      </c>
      <c r="AA74" s="14">
        <f t="shared" si="61"/>
        <v>1.6299601402737498</v>
      </c>
      <c r="AB74" s="14">
        <f t="shared" si="62"/>
        <v>5.2589704371560426</v>
      </c>
      <c r="AC74" s="14">
        <f t="shared" si="37"/>
        <v>-3.8426880139941306</v>
      </c>
      <c r="AD74" s="14">
        <f t="shared" si="38"/>
        <v>3.5903368763929469</v>
      </c>
      <c r="AE74" s="14">
        <f t="shared" si="39"/>
        <v>2.3869801589427926</v>
      </c>
      <c r="AF74" s="14">
        <f t="shared" si="63"/>
        <v>5.2644046645393647</v>
      </c>
      <c r="AG74" s="14">
        <f t="shared" si="40"/>
        <v>3.4934026963546083E-2</v>
      </c>
      <c r="AH74" s="14">
        <f t="shared" si="64"/>
        <v>0.10642221205406575</v>
      </c>
      <c r="AI74" s="14">
        <f t="shared" si="65"/>
        <v>2.0712872071450961</v>
      </c>
      <c r="AJ74" s="14">
        <f t="shared" si="66"/>
        <v>-0.12678841923815917</v>
      </c>
      <c r="AK74" s="14">
        <f t="shared" si="41"/>
        <v>0.90185507334585158</v>
      </c>
      <c r="AL74" s="14">
        <f t="shared" si="42"/>
        <v>1.2758543458533103</v>
      </c>
      <c r="AM74" s="14">
        <f t="shared" si="43"/>
        <v>0.97157137711249486</v>
      </c>
      <c r="AN74" s="1">
        <f t="shared" si="67"/>
        <v>-0.40675446919955416</v>
      </c>
      <c r="AO74" s="1">
        <f t="shared" si="68"/>
        <v>-0.34134335886013245</v>
      </c>
      <c r="AP74" s="1">
        <f t="shared" si="69"/>
        <v>7.8387347265026008</v>
      </c>
      <c r="AQ74" s="1">
        <f t="shared" si="70"/>
        <v>16.81248993394345</v>
      </c>
      <c r="AR74" s="1">
        <f t="shared" si="44"/>
        <v>0</v>
      </c>
      <c r="AS74" s="1">
        <f t="shared" si="71"/>
        <v>7.8387347265026008</v>
      </c>
      <c r="AT74" s="1">
        <f t="shared" si="72"/>
        <v>4.525695604452344</v>
      </c>
    </row>
    <row r="75" spans="1:46" x14ac:dyDescent="0.25">
      <c r="A75" s="14">
        <f t="shared" si="46"/>
        <v>1.7802358370342177</v>
      </c>
      <c r="B75" s="14">
        <f t="shared" si="47"/>
        <v>-1.0395584540888043</v>
      </c>
      <c r="C75" s="14">
        <f t="shared" si="48"/>
        <v>4.8907380036690267</v>
      </c>
      <c r="D75" s="14">
        <f t="shared" si="73"/>
        <v>0.75776378357420615</v>
      </c>
      <c r="E75" s="14">
        <f t="shared" si="49"/>
        <v>1.6648941672372612</v>
      </c>
      <c r="F75" s="14">
        <f t="shared" si="50"/>
        <v>5.2699025216886746</v>
      </c>
      <c r="G75" s="14">
        <f t="shared" si="23"/>
        <v>3.8279242562432088</v>
      </c>
      <c r="H75" s="14">
        <f t="shared" si="24"/>
        <v>3.6219978570625253</v>
      </c>
      <c r="I75" s="14">
        <f t="shared" si="25"/>
        <v>0.76091507250141821</v>
      </c>
      <c r="J75" s="14">
        <f t="shared" si="51"/>
        <v>5.2754643175346159</v>
      </c>
      <c r="K75" s="14">
        <f t="shared" si="27"/>
        <v>3.5080964121303682E-2</v>
      </c>
      <c r="L75" s="14">
        <f t="shared" si="52"/>
        <v>0.10974410175850237</v>
      </c>
      <c r="M75" s="14">
        <f t="shared" si="53"/>
        <v>2.0518117494139267</v>
      </c>
      <c r="N75" s="14">
        <f t="shared" si="54"/>
        <v>0.13136911647489957</v>
      </c>
      <c r="O75" s="14">
        <f t="shared" si="31"/>
        <v>0.90203744843063327</v>
      </c>
      <c r="P75" s="14">
        <f t="shared" si="32"/>
        <v>1.2595184027417958</v>
      </c>
      <c r="Q75" s="14">
        <f t="shared" si="33"/>
        <v>-0.96343986507049795</v>
      </c>
      <c r="R75" s="1">
        <f t="shared" si="55"/>
        <v>0.41035628264356561</v>
      </c>
      <c r="S75" s="1">
        <f t="shared" si="56"/>
        <v>-0.34087757405777164</v>
      </c>
      <c r="T75" s="1">
        <f t="shared" si="57"/>
        <v>7.9931277448063272</v>
      </c>
      <c r="U75" s="1">
        <f t="shared" si="58"/>
        <v>16.921796235255066</v>
      </c>
      <c r="V75" s="1">
        <f t="shared" si="35"/>
        <v>0</v>
      </c>
      <c r="W75" s="1">
        <f t="shared" si="59"/>
        <v>7.9931277448063272</v>
      </c>
      <c r="X75" s="1">
        <f t="shared" si="60"/>
        <v>4.6148344551309988</v>
      </c>
      <c r="Z75" s="14">
        <f t="shared" si="74"/>
        <v>2.3838288700155807</v>
      </c>
      <c r="AA75" s="14">
        <f t="shared" si="61"/>
        <v>1.6648941672372959</v>
      </c>
      <c r="AB75" s="14">
        <f t="shared" si="62"/>
        <v>5.2699025216886861</v>
      </c>
      <c r="AC75" s="14">
        <f t="shared" si="37"/>
        <v>-3.8279242562431941</v>
      </c>
      <c r="AD75" s="14">
        <f t="shared" si="38"/>
        <v>3.6219978570625582</v>
      </c>
      <c r="AE75" s="14">
        <f t="shared" si="39"/>
        <v>2.3806775810883689</v>
      </c>
      <c r="AF75" s="14">
        <f t="shared" si="63"/>
        <v>5.2754643175346265</v>
      </c>
      <c r="AG75" s="14">
        <f t="shared" si="40"/>
        <v>3.5080964121304348E-2</v>
      </c>
      <c r="AH75" s="14">
        <f t="shared" si="64"/>
        <v>0.10974410175850569</v>
      </c>
      <c r="AI75" s="14">
        <f t="shared" si="65"/>
        <v>2.0518117494139076</v>
      </c>
      <c r="AJ75" s="14">
        <f t="shared" si="66"/>
        <v>-0.13136911647490399</v>
      </c>
      <c r="AK75" s="14">
        <f t="shared" si="41"/>
        <v>0.90203744843063349</v>
      </c>
      <c r="AL75" s="14">
        <f t="shared" si="42"/>
        <v>1.2595184027417801</v>
      </c>
      <c r="AM75" s="14">
        <f t="shared" si="43"/>
        <v>0.96229421170482077</v>
      </c>
      <c r="AN75" s="1">
        <f t="shared" si="67"/>
        <v>-0.41084045667752567</v>
      </c>
      <c r="AO75" s="1">
        <f t="shared" si="68"/>
        <v>-0.33983925949122029</v>
      </c>
      <c r="AP75" s="1">
        <f t="shared" si="69"/>
        <v>8.0239155494595451</v>
      </c>
      <c r="AQ75" s="1">
        <f t="shared" si="70"/>
        <v>16.895962199726373</v>
      </c>
      <c r="AR75" s="1">
        <f t="shared" si="44"/>
        <v>0</v>
      </c>
      <c r="AS75" s="1">
        <f t="shared" si="71"/>
        <v>8.0239155494595451</v>
      </c>
      <c r="AT75" s="1">
        <f t="shared" si="72"/>
        <v>4.632609802435292</v>
      </c>
    </row>
    <row r="76" spans="1:46" x14ac:dyDescent="0.25">
      <c r="A76" s="14">
        <f t="shared" si="46"/>
        <v>1.8151424220741044</v>
      </c>
      <c r="B76" s="14">
        <f t="shared" si="47"/>
        <v>-1.2096094779983464</v>
      </c>
      <c r="C76" s="14">
        <f t="shared" si="48"/>
        <v>4.8514786313799805</v>
      </c>
      <c r="D76" s="14">
        <f t="shared" si="73"/>
        <v>0.76406636142863016</v>
      </c>
      <c r="E76" s="14">
        <f t="shared" si="49"/>
        <v>1.6999751313585649</v>
      </c>
      <c r="F76" s="14">
        <f t="shared" si="50"/>
        <v>5.2810903653731938</v>
      </c>
      <c r="G76" s="14">
        <f t="shared" si="23"/>
        <v>3.8130984001660759</v>
      </c>
      <c r="H76" s="14">
        <f t="shared" si="24"/>
        <v>3.6537920080224171</v>
      </c>
      <c r="I76" s="14">
        <f t="shared" si="25"/>
        <v>0.76721765035584211</v>
      </c>
      <c r="J76" s="14">
        <f t="shared" si="51"/>
        <v>5.2867809829111705</v>
      </c>
      <c r="K76" s="14">
        <f t="shared" si="27"/>
        <v>3.5231635126715677E-2</v>
      </c>
      <c r="L76" s="14">
        <f t="shared" si="52"/>
        <v>0.11308532834754735</v>
      </c>
      <c r="M76" s="14">
        <f t="shared" si="53"/>
        <v>2.0324371432430581</v>
      </c>
      <c r="N76" s="14">
        <f t="shared" si="54"/>
        <v>0.13597905740954602</v>
      </c>
      <c r="O76" s="14">
        <f t="shared" si="31"/>
        <v>0.90198494708452759</v>
      </c>
      <c r="P76" s="14">
        <f t="shared" si="32"/>
        <v>1.2435375245060778</v>
      </c>
      <c r="Q76" s="14">
        <f t="shared" si="33"/>
        <v>-0.95409832334190547</v>
      </c>
      <c r="R76" s="1">
        <f t="shared" si="55"/>
        <v>0.41425660639207607</v>
      </c>
      <c r="S76" s="1">
        <f t="shared" si="56"/>
        <v>-0.33916507302728938</v>
      </c>
      <c r="T76" s="1">
        <f t="shared" si="57"/>
        <v>8.1774962606665476</v>
      </c>
      <c r="U76" s="1">
        <f t="shared" si="58"/>
        <v>16.997867144083504</v>
      </c>
      <c r="V76" s="1">
        <f t="shared" si="35"/>
        <v>0</v>
      </c>
      <c r="W76" s="1">
        <f t="shared" si="59"/>
        <v>8.1774962606665476</v>
      </c>
      <c r="X76" s="1">
        <f t="shared" si="60"/>
        <v>4.7212796673929889</v>
      </c>
      <c r="Z76" s="14">
        <f t="shared" si="74"/>
        <v>2.3775262921611566</v>
      </c>
      <c r="AA76" s="14">
        <f t="shared" si="61"/>
        <v>1.6999751313586002</v>
      </c>
      <c r="AB76" s="14">
        <f t="shared" si="62"/>
        <v>5.2810903653732044</v>
      </c>
      <c r="AC76" s="14">
        <f t="shared" si="37"/>
        <v>-3.8130984001660599</v>
      </c>
      <c r="AD76" s="14">
        <f t="shared" si="38"/>
        <v>3.6537920080224491</v>
      </c>
      <c r="AE76" s="14">
        <f t="shared" si="39"/>
        <v>2.3743750032339443</v>
      </c>
      <c r="AF76" s="14">
        <f t="shared" si="63"/>
        <v>5.2867809829111829</v>
      </c>
      <c r="AG76" s="14">
        <f t="shared" si="40"/>
        <v>3.5231635126716343E-2</v>
      </c>
      <c r="AH76" s="14">
        <f t="shared" si="64"/>
        <v>0.11308532834755101</v>
      </c>
      <c r="AI76" s="14">
        <f t="shared" si="65"/>
        <v>2.0324371432430373</v>
      </c>
      <c r="AJ76" s="14">
        <f t="shared" si="66"/>
        <v>-0.13597905740955119</v>
      </c>
      <c r="AK76" s="14">
        <f t="shared" si="41"/>
        <v>0.90198494708452692</v>
      </c>
      <c r="AL76" s="14">
        <f t="shared" si="42"/>
        <v>1.2435375245060614</v>
      </c>
      <c r="AM76" s="14">
        <f t="shared" si="43"/>
        <v>0.953003050095661</v>
      </c>
      <c r="AN76" s="1">
        <f t="shared" si="67"/>
        <v>-0.4147194888675344</v>
      </c>
      <c r="AO76" s="1">
        <f t="shared" si="68"/>
        <v>-0.33817241835529199</v>
      </c>
      <c r="AP76" s="1">
        <f t="shared" si="69"/>
        <v>8.2070565884593538</v>
      </c>
      <c r="AQ76" s="1">
        <f t="shared" si="70"/>
        <v>16.973063083935642</v>
      </c>
      <c r="AR76" s="1">
        <f t="shared" si="44"/>
        <v>0</v>
      </c>
      <c r="AS76" s="1">
        <f t="shared" si="71"/>
        <v>8.2070565884593538</v>
      </c>
      <c r="AT76" s="1">
        <f t="shared" si="72"/>
        <v>4.738346330601499</v>
      </c>
    </row>
    <row r="77" spans="1:46" x14ac:dyDescent="0.25">
      <c r="A77" s="14">
        <f t="shared" si="46"/>
        <v>1.850049007113991</v>
      </c>
      <c r="B77" s="14">
        <f t="shared" si="47"/>
        <v>-1.378186779085004</v>
      </c>
      <c r="C77" s="14">
        <f t="shared" si="48"/>
        <v>4.8063084796915927</v>
      </c>
      <c r="D77" s="14">
        <f t="shared" si="73"/>
        <v>0.77036893928305417</v>
      </c>
      <c r="E77" s="14">
        <f t="shared" si="49"/>
        <v>1.7352067664852806</v>
      </c>
      <c r="F77" s="14">
        <f t="shared" si="50"/>
        <v>5.2925364923121982</v>
      </c>
      <c r="G77" s="14">
        <f t="shared" si="23"/>
        <v>3.798208867770541</v>
      </c>
      <c r="H77" s="14">
        <f t="shared" si="24"/>
        <v>3.6857227132877926</v>
      </c>
      <c r="I77" s="14">
        <f t="shared" si="25"/>
        <v>0.77352022821026623</v>
      </c>
      <c r="J77" s="14">
        <f t="shared" si="51"/>
        <v>5.2983572202437683</v>
      </c>
      <c r="K77" s="14">
        <f t="shared" si="27"/>
        <v>3.5386096168218195E-2</v>
      </c>
      <c r="L77" s="14">
        <f t="shared" si="52"/>
        <v>0.11644528138866667</v>
      </c>
      <c r="M77" s="14">
        <f t="shared" si="53"/>
        <v>2.0131699868817337</v>
      </c>
      <c r="N77" s="14">
        <f t="shared" si="54"/>
        <v>0.14061389422548512</v>
      </c>
      <c r="O77" s="14">
        <f t="shared" si="31"/>
        <v>0.9017063610076923</v>
      </c>
      <c r="P77" s="14">
        <f t="shared" si="32"/>
        <v>1.2279089072627081</v>
      </c>
      <c r="Q77" s="14">
        <f t="shared" si="33"/>
        <v>-0.94475467400822222</v>
      </c>
      <c r="R77" s="1">
        <f t="shared" si="55"/>
        <v>0.41795291850099614</v>
      </c>
      <c r="S77" s="1">
        <f t="shared" si="56"/>
        <v>-0.33730178992963611</v>
      </c>
      <c r="T77" s="1">
        <f t="shared" si="57"/>
        <v>8.3597560351899549</v>
      </c>
      <c r="U77" s="1">
        <f t="shared" si="58"/>
        <v>17.067909336748304</v>
      </c>
      <c r="V77" s="1">
        <f t="shared" si="35"/>
        <v>0</v>
      </c>
      <c r="W77" s="1">
        <f t="shared" si="59"/>
        <v>8.3597560351899549</v>
      </c>
      <c r="X77" s="1">
        <f t="shared" si="60"/>
        <v>4.8265073972765187</v>
      </c>
      <c r="Z77" s="14">
        <f t="shared" si="74"/>
        <v>2.3712237143067325</v>
      </c>
      <c r="AA77" s="14">
        <f t="shared" si="61"/>
        <v>1.7352067664853166</v>
      </c>
      <c r="AB77" s="14">
        <f t="shared" si="62"/>
        <v>5.2925364923122098</v>
      </c>
      <c r="AC77" s="14">
        <f t="shared" si="37"/>
        <v>-3.7982088677705255</v>
      </c>
      <c r="AD77" s="14">
        <f t="shared" si="38"/>
        <v>3.6857227132878259</v>
      </c>
      <c r="AE77" s="14">
        <f t="shared" si="39"/>
        <v>2.3680724253795207</v>
      </c>
      <c r="AF77" s="14">
        <f t="shared" si="63"/>
        <v>5.2983572202437799</v>
      </c>
      <c r="AG77" s="14">
        <f t="shared" si="40"/>
        <v>3.5386096168219305E-2</v>
      </c>
      <c r="AH77" s="14">
        <f t="shared" si="64"/>
        <v>0.11644528138866984</v>
      </c>
      <c r="AI77" s="14">
        <f t="shared" si="65"/>
        <v>2.0131699868817146</v>
      </c>
      <c r="AJ77" s="14">
        <f t="shared" si="66"/>
        <v>-0.1406138942254897</v>
      </c>
      <c r="AK77" s="14">
        <f t="shared" si="41"/>
        <v>0.90170636100769219</v>
      </c>
      <c r="AL77" s="14">
        <f t="shared" si="42"/>
        <v>1.2279089072626923</v>
      </c>
      <c r="AM77" s="14">
        <f t="shared" si="43"/>
        <v>0.94370795840086497</v>
      </c>
      <c r="AN77" s="1">
        <f t="shared" si="67"/>
        <v>-0.41839527963151418</v>
      </c>
      <c r="AO77" s="1">
        <f t="shared" si="68"/>
        <v>-0.33635314342388201</v>
      </c>
      <c r="AP77" s="1">
        <f t="shared" si="69"/>
        <v>8.3881296925500823</v>
      </c>
      <c r="AQ77" s="1">
        <f t="shared" si="70"/>
        <v>17.044101011323153</v>
      </c>
      <c r="AR77" s="1">
        <f t="shared" si="44"/>
        <v>0</v>
      </c>
      <c r="AS77" s="1">
        <f t="shared" si="71"/>
        <v>8.3881296925500823</v>
      </c>
      <c r="AT77" s="1">
        <f t="shared" si="72"/>
        <v>4.8428889359912821</v>
      </c>
    </row>
    <row r="78" spans="1:46" x14ac:dyDescent="0.25">
      <c r="A78" s="14">
        <f t="shared" si="46"/>
        <v>1.8849555921538776</v>
      </c>
      <c r="B78" s="14">
        <f t="shared" si="47"/>
        <v>-1.5450849718747452</v>
      </c>
      <c r="C78" s="14">
        <f t="shared" si="48"/>
        <v>4.7552825814757655</v>
      </c>
      <c r="D78" s="14">
        <f t="shared" si="73"/>
        <v>0.77667151713747817</v>
      </c>
      <c r="E78" s="14">
        <f t="shared" si="49"/>
        <v>1.7705928626534988</v>
      </c>
      <c r="F78" s="14">
        <f t="shared" si="50"/>
        <v>5.3042434979249879</v>
      </c>
      <c r="G78" s="14">
        <f t="shared" si="23"/>
        <v>3.7832540573181395</v>
      </c>
      <c r="H78" s="14">
        <f t="shared" si="24"/>
        <v>3.7177934077978767</v>
      </c>
      <c r="I78" s="14">
        <f t="shared" si="25"/>
        <v>0.77982280606469012</v>
      </c>
      <c r="J78" s="14">
        <f t="shared" si="51"/>
        <v>5.3101956611751895</v>
      </c>
      <c r="K78" s="14">
        <f t="shared" si="27"/>
        <v>3.5544405204156693E-2</v>
      </c>
      <c r="L78" s="14">
        <f t="shared" si="52"/>
        <v>0.11982344645009277</v>
      </c>
      <c r="M78" s="14">
        <f t="shared" si="53"/>
        <v>1.9940167004629414</v>
      </c>
      <c r="N78" s="14">
        <f t="shared" si="54"/>
        <v>0.14526922029041536</v>
      </c>
      <c r="O78" s="14">
        <f t="shared" si="31"/>
        <v>0.90121080378489504</v>
      </c>
      <c r="P78" s="14">
        <f t="shared" si="32"/>
        <v>1.2126293431281392</v>
      </c>
      <c r="Q78" s="14">
        <f t="shared" si="33"/>
        <v>-0.93541854698788873</v>
      </c>
      <c r="R78" s="1">
        <f t="shared" si="55"/>
        <v>0.42144940890377647</v>
      </c>
      <c r="S78" s="1">
        <f t="shared" si="56"/>
        <v>-0.33529780814505172</v>
      </c>
      <c r="T78" s="1">
        <f t="shared" si="57"/>
        <v>8.5398953923159588</v>
      </c>
      <c r="U78" s="1">
        <f t="shared" si="58"/>
        <v>17.132233800715863</v>
      </c>
      <c r="V78" s="1">
        <f t="shared" si="35"/>
        <v>0</v>
      </c>
      <c r="W78" s="1">
        <f t="shared" si="59"/>
        <v>8.5398953923159588</v>
      </c>
      <c r="X78" s="1">
        <f t="shared" si="60"/>
        <v>4.9305109036048629</v>
      </c>
      <c r="Z78" s="14">
        <f t="shared" si="74"/>
        <v>2.3649211364523084</v>
      </c>
      <c r="AA78" s="14">
        <f t="shared" si="61"/>
        <v>1.7705928626535359</v>
      </c>
      <c r="AB78" s="14">
        <f t="shared" si="62"/>
        <v>5.3042434979250004</v>
      </c>
      <c r="AC78" s="14">
        <f t="shared" si="37"/>
        <v>-3.783254057318123</v>
      </c>
      <c r="AD78" s="14">
        <f t="shared" si="38"/>
        <v>3.7177934077979109</v>
      </c>
      <c r="AE78" s="14">
        <f t="shared" si="39"/>
        <v>2.3617698475250961</v>
      </c>
      <c r="AF78" s="14">
        <f t="shared" si="63"/>
        <v>5.3101956611752028</v>
      </c>
      <c r="AG78" s="14">
        <f t="shared" si="40"/>
        <v>3.5544405204157359E-2</v>
      </c>
      <c r="AH78" s="14">
        <f t="shared" si="64"/>
        <v>0.11982344645009653</v>
      </c>
      <c r="AI78" s="14">
        <f t="shared" si="65"/>
        <v>1.9940167004629203</v>
      </c>
      <c r="AJ78" s="14">
        <f t="shared" si="66"/>
        <v>-0.14526922029042053</v>
      </c>
      <c r="AK78" s="14">
        <f t="shared" si="41"/>
        <v>0.90121080378489449</v>
      </c>
      <c r="AL78" s="14">
        <f t="shared" si="42"/>
        <v>1.2126293431281223</v>
      </c>
      <c r="AM78" s="14">
        <f t="shared" si="43"/>
        <v>0.9344186051758564</v>
      </c>
      <c r="AN78" s="1">
        <f t="shared" si="67"/>
        <v>-0.42187200257421881</v>
      </c>
      <c r="AO78" s="1">
        <f t="shared" si="68"/>
        <v>-0.33439155309423019</v>
      </c>
      <c r="AP78" s="1">
        <f t="shared" si="69"/>
        <v>8.5671224020300549</v>
      </c>
      <c r="AQ78" s="1">
        <f t="shared" si="70"/>
        <v>17.109387626907267</v>
      </c>
      <c r="AR78" s="1">
        <f t="shared" si="44"/>
        <v>0</v>
      </c>
      <c r="AS78" s="1">
        <f t="shared" si="71"/>
        <v>8.5671224020300549</v>
      </c>
      <c r="AT78" s="1">
        <f t="shared" si="72"/>
        <v>4.9462304249925255</v>
      </c>
    </row>
    <row r="79" spans="1:46" x14ac:dyDescent="0.25">
      <c r="A79" s="14">
        <f t="shared" si="46"/>
        <v>1.9198621771937643</v>
      </c>
      <c r="B79" s="14">
        <f t="shared" si="47"/>
        <v>-1.7101007166283519</v>
      </c>
      <c r="C79" s="14">
        <f t="shared" si="48"/>
        <v>4.698463103929539</v>
      </c>
      <c r="D79" s="14">
        <f t="shared" si="73"/>
        <v>0.78297409499190218</v>
      </c>
      <c r="E79" s="14">
        <f t="shared" si="49"/>
        <v>1.8061372678576555</v>
      </c>
      <c r="F79" s="14">
        <f t="shared" si="50"/>
        <v>5.3162140504633859</v>
      </c>
      <c r="G79" s="14">
        <f t="shared" si="23"/>
        <v>3.7682323425761517</v>
      </c>
      <c r="H79" s="14">
        <f t="shared" si="24"/>
        <v>3.7500075790199903</v>
      </c>
      <c r="I79" s="14">
        <f t="shared" si="25"/>
        <v>0.78612538391911424</v>
      </c>
      <c r="J79" s="14">
        <f t="shared" si="51"/>
        <v>5.3222990109585941</v>
      </c>
      <c r="K79" s="14">
        <f t="shared" si="27"/>
        <v>3.5706622011308475E-2</v>
      </c>
      <c r="L79" s="14">
        <f t="shared" si="52"/>
        <v>0.12321940582563191</v>
      </c>
      <c r="M79" s="14">
        <f t="shared" si="53"/>
        <v>1.9749835221933159</v>
      </c>
      <c r="N79" s="14">
        <f t="shared" si="54"/>
        <v>0.14994057560691382</v>
      </c>
      <c r="O79" s="14">
        <f t="shared" si="31"/>
        <v>0.90050768738651188</v>
      </c>
      <c r="P79" s="14">
        <f t="shared" si="32"/>
        <v>1.1976952406324359</v>
      </c>
      <c r="Q79" s="14">
        <f t="shared" si="33"/>
        <v>-0.926099158529477</v>
      </c>
      <c r="R79" s="1">
        <f t="shared" si="55"/>
        <v>0.42475071278750887</v>
      </c>
      <c r="S79" s="1">
        <f t="shared" si="56"/>
        <v>-0.33316299825216511</v>
      </c>
      <c r="T79" s="1">
        <f t="shared" si="57"/>
        <v>8.7179185665184047</v>
      </c>
      <c r="U79" s="1">
        <f t="shared" si="58"/>
        <v>17.191154109209048</v>
      </c>
      <c r="V79" s="1">
        <f t="shared" si="35"/>
        <v>0</v>
      </c>
      <c r="W79" s="1">
        <f t="shared" si="59"/>
        <v>8.7179185665184047</v>
      </c>
      <c r="X79" s="1">
        <f t="shared" si="60"/>
        <v>5.0332926311526371</v>
      </c>
      <c r="Z79" s="14">
        <f t="shared" si="74"/>
        <v>2.3586185585978843</v>
      </c>
      <c r="AA79" s="14">
        <f t="shared" si="61"/>
        <v>1.8061372678576932</v>
      </c>
      <c r="AB79" s="14">
        <f t="shared" si="62"/>
        <v>5.3162140504633983</v>
      </c>
      <c r="AC79" s="14">
        <f t="shared" si="37"/>
        <v>-3.7682323425761353</v>
      </c>
      <c r="AD79" s="14">
        <f t="shared" si="38"/>
        <v>3.7500075790200245</v>
      </c>
      <c r="AE79" s="14">
        <f t="shared" si="39"/>
        <v>2.3554672696706724</v>
      </c>
      <c r="AF79" s="14">
        <f t="shared" si="63"/>
        <v>5.3222990109586075</v>
      </c>
      <c r="AG79" s="14">
        <f t="shared" si="40"/>
        <v>3.5706622011309586E-2</v>
      </c>
      <c r="AH79" s="14">
        <f t="shared" si="64"/>
        <v>0.1232194058256358</v>
      </c>
      <c r="AI79" s="14">
        <f t="shared" si="65"/>
        <v>1.9749835221932959</v>
      </c>
      <c r="AJ79" s="14">
        <f t="shared" si="66"/>
        <v>-0.14994057560691909</v>
      </c>
      <c r="AK79" s="14">
        <f t="shared" si="41"/>
        <v>0.90050768738651066</v>
      </c>
      <c r="AL79" s="14">
        <f t="shared" si="42"/>
        <v>1.1976952406324211</v>
      </c>
      <c r="AM79" s="14">
        <f t="shared" si="43"/>
        <v>0.92514424746349233</v>
      </c>
      <c r="AN79" s="1">
        <f t="shared" si="67"/>
        <v>-0.4251542756423311</v>
      </c>
      <c r="AO79" s="1">
        <f t="shared" si="68"/>
        <v>-0.33229755491714197</v>
      </c>
      <c r="AP79" s="1">
        <f t="shared" si="69"/>
        <v>8.7440381146213966</v>
      </c>
      <c r="AQ79" s="1">
        <f t="shared" si="70"/>
        <v>17.169237206030143</v>
      </c>
      <c r="AR79" s="1">
        <f t="shared" si="44"/>
        <v>0</v>
      </c>
      <c r="AS79" s="1">
        <f t="shared" si="71"/>
        <v>8.7440381146213966</v>
      </c>
      <c r="AT79" s="1">
        <f t="shared" si="72"/>
        <v>5.048372759281011</v>
      </c>
    </row>
    <row r="80" spans="1:46" x14ac:dyDescent="0.25">
      <c r="A80" s="14">
        <f t="shared" si="46"/>
        <v>1.9547687622336509</v>
      </c>
      <c r="B80" s="14">
        <f t="shared" si="47"/>
        <v>-1.8730329670795685</v>
      </c>
      <c r="C80" s="14">
        <f t="shared" si="48"/>
        <v>4.6359192728339336</v>
      </c>
      <c r="D80" s="14">
        <f t="shared" si="73"/>
        <v>0.78927667284632619</v>
      </c>
      <c r="E80" s="14">
        <f t="shared" si="49"/>
        <v>1.841843889868964</v>
      </c>
      <c r="F80" s="14">
        <f t="shared" si="50"/>
        <v>5.3284508925810359</v>
      </c>
      <c r="G80" s="14">
        <f t="shared" si="23"/>
        <v>3.7531420720491</v>
      </c>
      <c r="H80" s="14">
        <f t="shared" si="24"/>
        <v>3.7823687685976135</v>
      </c>
      <c r="I80" s="14">
        <f t="shared" si="25"/>
        <v>0.79242796177353814</v>
      </c>
      <c r="J80" s="14">
        <f t="shared" si="51"/>
        <v>5.3346700500542266</v>
      </c>
      <c r="K80" s="14">
        <f t="shared" si="27"/>
        <v>3.587280823532546E-2</v>
      </c>
      <c r="L80" s="14">
        <f t="shared" si="52"/>
        <v>0.12663283908891157</v>
      </c>
      <c r="M80" s="14">
        <f t="shared" si="53"/>
        <v>1.956076504767938</v>
      </c>
      <c r="N80" s="14">
        <f t="shared" si="54"/>
        <v>0.15462345232637811</v>
      </c>
      <c r="O80" s="14">
        <f t="shared" si="31"/>
        <v>0.89960669815035665</v>
      </c>
      <c r="P80" s="14">
        <f t="shared" si="32"/>
        <v>1.183102645706493</v>
      </c>
      <c r="Q80" s="14">
        <f t="shared" si="33"/>
        <v>-0.91680529852985582</v>
      </c>
      <c r="R80" s="1">
        <f t="shared" si="55"/>
        <v>0.4278618941846466</v>
      </c>
      <c r="S80" s="1">
        <f t="shared" si="56"/>
        <v>-0.33090699766476817</v>
      </c>
      <c r="T80" s="1">
        <f t="shared" si="57"/>
        <v>8.8938458462684942</v>
      </c>
      <c r="U80" s="1">
        <f t="shared" si="58"/>
        <v>17.244985827384511</v>
      </c>
      <c r="V80" s="1">
        <f t="shared" si="35"/>
        <v>0</v>
      </c>
      <c r="W80" s="1">
        <f t="shared" si="59"/>
        <v>8.8938458462684942</v>
      </c>
      <c r="X80" s="1">
        <f t="shared" si="60"/>
        <v>5.1348642934741502</v>
      </c>
      <c r="Z80" s="14">
        <f t="shared" si="74"/>
        <v>2.3523159807434602</v>
      </c>
      <c r="AA80" s="14">
        <f t="shared" si="61"/>
        <v>1.8418438898690028</v>
      </c>
      <c r="AB80" s="14">
        <f t="shared" si="62"/>
        <v>5.3284508925810492</v>
      </c>
      <c r="AC80" s="14">
        <f t="shared" si="37"/>
        <v>-3.7531420720490831</v>
      </c>
      <c r="AD80" s="14">
        <f t="shared" si="38"/>
        <v>3.7823687685976486</v>
      </c>
      <c r="AE80" s="14">
        <f t="shared" si="39"/>
        <v>2.3491646918162479</v>
      </c>
      <c r="AF80" s="14">
        <f t="shared" si="63"/>
        <v>5.3346700500542417</v>
      </c>
      <c r="AG80" s="14">
        <f t="shared" si="40"/>
        <v>3.5872808235325904E-2</v>
      </c>
      <c r="AH80" s="14">
        <f t="shared" si="64"/>
        <v>0.12663283908891579</v>
      </c>
      <c r="AI80" s="14">
        <f t="shared" si="65"/>
        <v>1.9560765047679161</v>
      </c>
      <c r="AJ80" s="14">
        <f t="shared" si="66"/>
        <v>-0.15462345232638372</v>
      </c>
      <c r="AK80" s="14">
        <f t="shared" si="41"/>
        <v>0.8996066981503551</v>
      </c>
      <c r="AL80" s="14">
        <f t="shared" si="42"/>
        <v>1.1831026457064768</v>
      </c>
      <c r="AM80" s="14">
        <f t="shared" si="43"/>
        <v>0.91589371797063923</v>
      </c>
      <c r="AN80" s="1">
        <f t="shared" si="67"/>
        <v>-0.42824714477601783</v>
      </c>
      <c r="AO80" s="1">
        <f t="shared" si="68"/>
        <v>-0.33008082510544567</v>
      </c>
      <c r="AP80" s="1">
        <f t="shared" si="69"/>
        <v>8.9188962308182091</v>
      </c>
      <c r="AQ80" s="1">
        <f t="shared" si="70"/>
        <v>17.223966058948374</v>
      </c>
      <c r="AR80" s="1">
        <f t="shared" si="44"/>
        <v>0</v>
      </c>
      <c r="AS80" s="1">
        <f t="shared" si="71"/>
        <v>8.9188962308182091</v>
      </c>
      <c r="AT80" s="1">
        <f t="shared" si="72"/>
        <v>5.1493271397372311</v>
      </c>
    </row>
    <row r="81" spans="1:46" x14ac:dyDescent="0.25">
      <c r="A81" s="14">
        <f t="shared" si="46"/>
        <v>1.9896753472735376</v>
      </c>
      <c r="B81" s="14">
        <f t="shared" si="47"/>
        <v>-2.0336832153790092</v>
      </c>
      <c r="C81" s="14">
        <f t="shared" si="48"/>
        <v>4.5677272882130007</v>
      </c>
      <c r="D81" s="14">
        <f t="shared" si="73"/>
        <v>0.7955792507007502</v>
      </c>
      <c r="E81" s="14">
        <f t="shared" si="49"/>
        <v>1.8777166981042894</v>
      </c>
      <c r="F81" s="14">
        <f t="shared" si="50"/>
        <v>5.3409568429579801</v>
      </c>
      <c r="G81" s="14">
        <f t="shared" si="23"/>
        <v>3.7379815681889292</v>
      </c>
      <c r="H81" s="14">
        <f t="shared" si="24"/>
        <v>3.8148805740441611</v>
      </c>
      <c r="I81" s="14">
        <f t="shared" si="25"/>
        <v>0.79873053962796225</v>
      </c>
      <c r="J81" s="14">
        <f t="shared" si="51"/>
        <v>5.3473116357823267</v>
      </c>
      <c r="K81" s="14">
        <f t="shared" si="27"/>
        <v>3.6043027443156683E-2</v>
      </c>
      <c r="L81" s="14">
        <f t="shared" si="52"/>
        <v>0.13006352347586778</v>
      </c>
      <c r="M81" s="14">
        <f t="shared" si="53"/>
        <v>1.9373015120130543</v>
      </c>
      <c r="N81" s="14">
        <f t="shared" si="54"/>
        <v>0.1593133003189264</v>
      </c>
      <c r="O81" s="14">
        <f t="shared" si="31"/>
        <v>0.89851777230239338</v>
      </c>
      <c r="P81" s="14">
        <f t="shared" si="32"/>
        <v>1.1688472631865288</v>
      </c>
      <c r="Q81" s="14">
        <f t="shared" si="33"/>
        <v>-0.9075453190067555</v>
      </c>
      <c r="R81" s="1">
        <f t="shared" si="55"/>
        <v>0.43078842865893907</v>
      </c>
      <c r="S81" s="1">
        <f t="shared" si="56"/>
        <v>-0.32853919109621849</v>
      </c>
      <c r="T81" s="1">
        <f t="shared" si="57"/>
        <v>9.0677136964646561</v>
      </c>
      <c r="U81" s="1">
        <f t="shared" si="58"/>
        <v>17.294045913964876</v>
      </c>
      <c r="V81" s="1">
        <f t="shared" si="35"/>
        <v>0</v>
      </c>
      <c r="W81" s="1">
        <f t="shared" si="59"/>
        <v>9.0677136964646561</v>
      </c>
      <c r="X81" s="1">
        <f t="shared" si="60"/>
        <v>5.2352469435883258</v>
      </c>
      <c r="Z81" s="14">
        <f t="shared" si="74"/>
        <v>2.346013402889036</v>
      </c>
      <c r="AA81" s="14">
        <f t="shared" si="61"/>
        <v>1.8777166981043287</v>
      </c>
      <c r="AB81" s="14">
        <f t="shared" si="62"/>
        <v>5.3409568429579943</v>
      </c>
      <c r="AC81" s="14">
        <f t="shared" si="37"/>
        <v>-3.7379815681889124</v>
      </c>
      <c r="AD81" s="14">
        <f t="shared" si="38"/>
        <v>3.8148805740441976</v>
      </c>
      <c r="AE81" s="14">
        <f t="shared" si="39"/>
        <v>2.3428621139618242</v>
      </c>
      <c r="AF81" s="14">
        <f t="shared" si="63"/>
        <v>5.34731163578234</v>
      </c>
      <c r="AG81" s="14">
        <f t="shared" si="40"/>
        <v>3.6043027443157127E-2</v>
      </c>
      <c r="AH81" s="14">
        <f t="shared" si="64"/>
        <v>0.13006352347587127</v>
      </c>
      <c r="AI81" s="14">
        <f t="shared" si="65"/>
        <v>1.9373015120130341</v>
      </c>
      <c r="AJ81" s="14">
        <f t="shared" si="66"/>
        <v>-0.15931330031893129</v>
      </c>
      <c r="AK81" s="14">
        <f t="shared" si="41"/>
        <v>0.89851777230239238</v>
      </c>
      <c r="AL81" s="14">
        <f t="shared" si="42"/>
        <v>1.1688472631865132</v>
      </c>
      <c r="AM81" s="14">
        <f t="shared" si="43"/>
        <v>0.90667541339607405</v>
      </c>
      <c r="AN81" s="1">
        <f t="shared" si="67"/>
        <v>-0.43115606665600281</v>
      </c>
      <c r="AO81" s="1">
        <f t="shared" si="68"/>
        <v>-0.32775078886727754</v>
      </c>
      <c r="AP81" s="1">
        <f t="shared" si="69"/>
        <v>9.0917322782934438</v>
      </c>
      <c r="AQ81" s="1">
        <f t="shared" si="70"/>
        <v>17.273891930811338</v>
      </c>
      <c r="AR81" s="1">
        <f t="shared" si="44"/>
        <v>0</v>
      </c>
      <c r="AS81" s="1">
        <f t="shared" si="71"/>
        <v>9.0917322782934438</v>
      </c>
      <c r="AT81" s="1">
        <f t="shared" si="72"/>
        <v>5.2491140782727292</v>
      </c>
    </row>
    <row r="82" spans="1:46" x14ac:dyDescent="0.25">
      <c r="A82" s="14">
        <f t="shared" si="46"/>
        <v>2.0245819323134242</v>
      </c>
      <c r="B82" s="14">
        <f t="shared" si="47"/>
        <v>-2.1918557339453955</v>
      </c>
      <c r="C82" s="14">
        <f t="shared" si="48"/>
        <v>4.4939702314958305</v>
      </c>
      <c r="D82" s="14">
        <f t="shared" si="73"/>
        <v>0.8018818285551742</v>
      </c>
      <c r="E82" s="14">
        <f t="shared" si="49"/>
        <v>1.9137597255474461</v>
      </c>
      <c r="F82" s="14">
        <f t="shared" si="50"/>
        <v>5.3537347979823799</v>
      </c>
      <c r="G82" s="14">
        <f t="shared" si="23"/>
        <v>3.7227491265830306</v>
      </c>
      <c r="H82" s="14">
        <f t="shared" si="24"/>
        <v>3.847546650484269</v>
      </c>
      <c r="I82" s="14">
        <f t="shared" si="25"/>
        <v>0.80503311748238615</v>
      </c>
      <c r="J82" s="14">
        <f t="shared" si="51"/>
        <v>5.3602267040341536</v>
      </c>
      <c r="K82" s="14">
        <f t="shared" si="27"/>
        <v>3.6217345177552929E-2</v>
      </c>
      <c r="L82" s="14">
        <f t="shared" si="52"/>
        <v>0.13351133409452043</v>
      </c>
      <c r="M82" s="14">
        <f t="shared" si="53"/>
        <v>1.9186642157594682</v>
      </c>
      <c r="N82" s="14">
        <f t="shared" si="54"/>
        <v>0.16400553279176139</v>
      </c>
      <c r="O82" s="14">
        <f t="shared" si="31"/>
        <v>0.89725107107530733</v>
      </c>
      <c r="P82" s="14">
        <f t="shared" si="32"/>
        <v>1.1549244787786814</v>
      </c>
      <c r="Q82" s="14">
        <f t="shared" si="33"/>
        <v>-0.89832712374508039</v>
      </c>
      <c r="R82" s="1">
        <f t="shared" si="55"/>
        <v>0.43353618513085757</v>
      </c>
      <c r="S82" s="1">
        <f t="shared" si="56"/>
        <v>-0.32606869189317295</v>
      </c>
      <c r="T82" s="1">
        <f t="shared" si="57"/>
        <v>9.239574859756079</v>
      </c>
      <c r="U82" s="1">
        <f t="shared" si="58"/>
        <v>17.33865211918997</v>
      </c>
      <c r="V82" s="1">
        <f t="shared" si="35"/>
        <v>0</v>
      </c>
      <c r="W82" s="1">
        <f t="shared" si="59"/>
        <v>9.239574859756079</v>
      </c>
      <c r="X82" s="1">
        <f t="shared" si="60"/>
        <v>5.3344710324778708</v>
      </c>
      <c r="Z82" s="14">
        <f t="shared" si="74"/>
        <v>2.3397108250346119</v>
      </c>
      <c r="AA82" s="14">
        <f t="shared" si="61"/>
        <v>1.9137597255474859</v>
      </c>
      <c r="AB82" s="14">
        <f t="shared" si="62"/>
        <v>5.353734797982395</v>
      </c>
      <c r="AC82" s="14">
        <f t="shared" si="37"/>
        <v>-3.7227491265830137</v>
      </c>
      <c r="AD82" s="14">
        <f t="shared" si="38"/>
        <v>3.8475466504843068</v>
      </c>
      <c r="AE82" s="14">
        <f t="shared" si="39"/>
        <v>2.3365595361073996</v>
      </c>
      <c r="AF82" s="14">
        <f t="shared" si="63"/>
        <v>5.3602267040341687</v>
      </c>
      <c r="AG82" s="14">
        <f t="shared" si="40"/>
        <v>3.6217345177554039E-2</v>
      </c>
      <c r="AH82" s="14">
        <f t="shared" si="64"/>
        <v>0.13351133409452426</v>
      </c>
      <c r="AI82" s="14">
        <f t="shared" si="65"/>
        <v>1.9186642157594465</v>
      </c>
      <c r="AJ82" s="14">
        <f t="shared" si="66"/>
        <v>-0.16400553279176672</v>
      </c>
      <c r="AK82" s="14">
        <f t="shared" si="41"/>
        <v>0.89725107107530611</v>
      </c>
      <c r="AL82" s="14">
        <f t="shared" si="42"/>
        <v>1.1549244787786648</v>
      </c>
      <c r="AM82" s="14">
        <f t="shared" si="43"/>
        <v>0.89749728392936379</v>
      </c>
      <c r="AN82" s="1">
        <f t="shared" si="67"/>
        <v>-0.43388689059129787</v>
      </c>
      <c r="AO82" s="1">
        <f t="shared" si="68"/>
        <v>-0.3253166016062029</v>
      </c>
      <c r="AP82" s="1">
        <f t="shared" si="69"/>
        <v>9.2625980152828458</v>
      </c>
      <c r="AQ82" s="1">
        <f t="shared" si="70"/>
        <v>17.319333397879785</v>
      </c>
      <c r="AR82" s="1">
        <f t="shared" si="44"/>
        <v>0</v>
      </c>
      <c r="AS82" s="1">
        <f t="shared" si="71"/>
        <v>9.2625980152828458</v>
      </c>
      <c r="AT82" s="1">
        <f t="shared" si="72"/>
        <v>5.3477634575188437</v>
      </c>
    </row>
    <row r="83" spans="1:46" x14ac:dyDescent="0.25">
      <c r="A83" s="14">
        <f t="shared" si="46"/>
        <v>2.0594885173533108</v>
      </c>
      <c r="B83" s="14">
        <f t="shared" si="47"/>
        <v>-2.3473578139294622</v>
      </c>
      <c r="C83" s="14">
        <f t="shared" si="48"/>
        <v>4.4147379642946296</v>
      </c>
      <c r="D83" s="14">
        <f t="shared" si="73"/>
        <v>0.80818440640959821</v>
      </c>
      <c r="E83" s="14">
        <f t="shared" si="49"/>
        <v>1.949977070724999</v>
      </c>
      <c r="F83" s="14">
        <f t="shared" si="50"/>
        <v>5.3667877334913525</v>
      </c>
      <c r="G83" s="14">
        <f t="shared" si="23"/>
        <v>3.7074430151192299</v>
      </c>
      <c r="H83" s="14">
        <f t="shared" si="24"/>
        <v>3.88037071244448</v>
      </c>
      <c r="I83" s="14">
        <f t="shared" si="25"/>
        <v>0.81133569533681027</v>
      </c>
      <c r="J83" s="14">
        <f t="shared" si="51"/>
        <v>5.3734182710431488</v>
      </c>
      <c r="K83" s="14">
        <f t="shared" si="27"/>
        <v>3.6395829013719183E-2</v>
      </c>
      <c r="L83" s="14">
        <f t="shared" si="52"/>
        <v>0.13697624396136066</v>
      </c>
      <c r="M83" s="14">
        <f t="shared" si="53"/>
        <v>1.9001700929490131</v>
      </c>
      <c r="N83" s="14">
        <f t="shared" si="54"/>
        <v>0.1686955319484624</v>
      </c>
      <c r="O83" s="14">
        <f t="shared" si="31"/>
        <v>0.89581695548463947</v>
      </c>
      <c r="P83" s="14">
        <f t="shared" si="32"/>
        <v>1.1413293814257344</v>
      </c>
      <c r="Q83" s="14">
        <f t="shared" si="33"/>
        <v>-0.88915815913338914</v>
      </c>
      <c r="R83" s="1">
        <f t="shared" si="55"/>
        <v>0.43611140688967964</v>
      </c>
      <c r="S83" s="1">
        <f t="shared" si="56"/>
        <v>-0.32350432427803177</v>
      </c>
      <c r="T83" s="1">
        <f t="shared" si="57"/>
        <v>9.4094984367133119</v>
      </c>
      <c r="U83" s="1">
        <f t="shared" si="58"/>
        <v>17.379122379934568</v>
      </c>
      <c r="V83" s="1">
        <f t="shared" si="35"/>
        <v>0</v>
      </c>
      <c r="W83" s="1">
        <f t="shared" si="59"/>
        <v>9.4094984367133119</v>
      </c>
      <c r="X83" s="1">
        <f t="shared" si="60"/>
        <v>5.4325764553757931</v>
      </c>
      <c r="Z83" s="14">
        <f t="shared" si="74"/>
        <v>2.3334082471801878</v>
      </c>
      <c r="AA83" s="14">
        <f t="shared" si="61"/>
        <v>1.9499770707250399</v>
      </c>
      <c r="AB83" s="14">
        <f t="shared" si="62"/>
        <v>5.3667877334913676</v>
      </c>
      <c r="AC83" s="14">
        <f t="shared" si="37"/>
        <v>-3.7074430151192121</v>
      </c>
      <c r="AD83" s="14">
        <f t="shared" si="38"/>
        <v>3.8803707124445177</v>
      </c>
      <c r="AE83" s="14">
        <f t="shared" si="39"/>
        <v>2.330256958252976</v>
      </c>
      <c r="AF83" s="14">
        <f t="shared" si="63"/>
        <v>5.3734182710431639</v>
      </c>
      <c r="AG83" s="14">
        <f t="shared" si="40"/>
        <v>3.6395829013720071E-2</v>
      </c>
      <c r="AH83" s="14">
        <f t="shared" si="64"/>
        <v>0.13697624396136437</v>
      </c>
      <c r="AI83" s="14">
        <f t="shared" si="65"/>
        <v>1.9001700929489924</v>
      </c>
      <c r="AJ83" s="14">
        <f t="shared" si="66"/>
        <v>-0.1686955319484674</v>
      </c>
      <c r="AK83" s="14">
        <f t="shared" si="41"/>
        <v>0.89581695548463769</v>
      </c>
      <c r="AL83" s="14">
        <f t="shared" si="42"/>
        <v>1.1413293814257193</v>
      </c>
      <c r="AM83" s="14">
        <f t="shared" si="43"/>
        <v>0.88836682393757116</v>
      </c>
      <c r="AN83" s="1">
        <f t="shared" si="67"/>
        <v>-0.43644583959458877</v>
      </c>
      <c r="AO83" s="1">
        <f t="shared" si="68"/>
        <v>-0.32278713102791201</v>
      </c>
      <c r="AP83" s="1">
        <f t="shared" si="69"/>
        <v>9.4315615129003323</v>
      </c>
      <c r="AQ83" s="1">
        <f t="shared" si="70"/>
        <v>17.360609260844075</v>
      </c>
      <c r="AR83" s="1">
        <f t="shared" si="44"/>
        <v>0</v>
      </c>
      <c r="AS83" s="1">
        <f t="shared" si="71"/>
        <v>9.4315615129003323</v>
      </c>
      <c r="AT83" s="1">
        <f t="shared" si="72"/>
        <v>5.4453145783515202</v>
      </c>
    </row>
    <row r="84" spans="1:46" x14ac:dyDescent="0.25">
      <c r="A84" s="14">
        <f t="shared" si="46"/>
        <v>2.0943951023931975</v>
      </c>
      <c r="B84" s="14">
        <f t="shared" si="47"/>
        <v>-2.5000000000000089</v>
      </c>
      <c r="C84" s="14">
        <f t="shared" si="48"/>
        <v>4.3301270189221883</v>
      </c>
      <c r="D84" s="14">
        <f t="shared" si="73"/>
        <v>0.81448698426402222</v>
      </c>
      <c r="E84" s="14">
        <f t="shared" si="49"/>
        <v>1.9863728997387182</v>
      </c>
      <c r="F84" s="14">
        <f t="shared" si="50"/>
        <v>5.3801187065729694</v>
      </c>
      <c r="G84" s="14">
        <f t="shared" si="23"/>
        <v>3.6920614731268397</v>
      </c>
      <c r="H84" s="14">
        <f t="shared" si="24"/>
        <v>3.9133565356952675</v>
      </c>
      <c r="I84" s="14">
        <f t="shared" si="25"/>
        <v>0.81763827319123417</v>
      </c>
      <c r="J84" s="14">
        <f t="shared" si="51"/>
        <v>5.386889435218305</v>
      </c>
      <c r="K84" s="14">
        <f t="shared" si="27"/>
        <v>3.6578548618204865E-2</v>
      </c>
      <c r="L84" s="14">
        <f t="shared" si="52"/>
        <v>0.14045832386392063</v>
      </c>
      <c r="M84" s="14">
        <f t="shared" si="53"/>
        <v>1.881824422976254</v>
      </c>
      <c r="N84" s="14">
        <f t="shared" si="54"/>
        <v>0.17337865468160216</v>
      </c>
      <c r="O84" s="14">
        <f t="shared" si="31"/>
        <v>0.89422596082282735</v>
      </c>
      <c r="P84" s="14">
        <f t="shared" si="32"/>
        <v>1.1280567860173474</v>
      </c>
      <c r="Q84" s="14">
        <f t="shared" si="33"/>
        <v>-0.88004540620404414</v>
      </c>
      <c r="R84" s="1">
        <f t="shared" si="55"/>
        <v>0.43852069184121778</v>
      </c>
      <c r="S84" s="1">
        <f t="shared" si="56"/>
        <v>-0.32085460653710546</v>
      </c>
      <c r="T84" s="1">
        <f t="shared" si="57"/>
        <v>9.5775699448415565</v>
      </c>
      <c r="U84" s="1">
        <f t="shared" si="58"/>
        <v>17.415774212853719</v>
      </c>
      <c r="V84" s="1">
        <f t="shared" si="35"/>
        <v>0</v>
      </c>
      <c r="W84" s="1">
        <f t="shared" si="59"/>
        <v>9.5775699448415565</v>
      </c>
      <c r="X84" s="1">
        <f t="shared" si="60"/>
        <v>5.529612585836742</v>
      </c>
      <c r="Z84" s="14">
        <f t="shared" si="74"/>
        <v>2.3271056693257637</v>
      </c>
      <c r="AA84" s="14">
        <f t="shared" si="61"/>
        <v>1.98637289973876</v>
      </c>
      <c r="AB84" s="14">
        <f t="shared" si="62"/>
        <v>5.3801187065729854</v>
      </c>
      <c r="AC84" s="14">
        <f t="shared" si="37"/>
        <v>-3.6920614731268224</v>
      </c>
      <c r="AD84" s="14">
        <f t="shared" si="38"/>
        <v>3.9133565356953066</v>
      </c>
      <c r="AE84" s="14">
        <f t="shared" si="39"/>
        <v>2.3239543803985514</v>
      </c>
      <c r="AF84" s="14">
        <f t="shared" si="63"/>
        <v>5.386889435218321</v>
      </c>
      <c r="AG84" s="14">
        <f t="shared" si="40"/>
        <v>3.6578548618205309E-2</v>
      </c>
      <c r="AH84" s="14">
        <f t="shared" si="64"/>
        <v>0.14045832386392468</v>
      </c>
      <c r="AI84" s="14">
        <f t="shared" si="65"/>
        <v>1.881824422976232</v>
      </c>
      <c r="AJ84" s="14">
        <f t="shared" si="66"/>
        <v>-0.17337865468160754</v>
      </c>
      <c r="AK84" s="14">
        <f t="shared" si="41"/>
        <v>0.89422596082282568</v>
      </c>
      <c r="AL84" s="14">
        <f t="shared" si="42"/>
        <v>1.1280567860173309</v>
      </c>
      <c r="AM84" s="14">
        <f t="shared" si="43"/>
        <v>0.87929106385360778</v>
      </c>
      <c r="AN84" s="1">
        <f t="shared" si="67"/>
        <v>-0.43883949069411499</v>
      </c>
      <c r="AO84" s="1">
        <f t="shared" si="68"/>
        <v>-0.32017094019082032</v>
      </c>
      <c r="AP84" s="1">
        <f t="shared" si="69"/>
        <v>9.5987072163779086</v>
      </c>
      <c r="AQ84" s="1">
        <f t="shared" si="70"/>
        <v>17.398037936103847</v>
      </c>
      <c r="AR84" s="1">
        <f t="shared" si="44"/>
        <v>0</v>
      </c>
      <c r="AS84" s="1">
        <f t="shared" si="71"/>
        <v>9.5987072163779086</v>
      </c>
      <c r="AT84" s="1">
        <f t="shared" si="72"/>
        <v>5.541816195248189</v>
      </c>
    </row>
    <row r="85" spans="1:46" x14ac:dyDescent="0.25">
      <c r="A85" s="14">
        <f t="shared" si="46"/>
        <v>2.1293016874330841</v>
      </c>
      <c r="B85" s="14">
        <f t="shared" si="47"/>
        <v>-2.6495963211660332</v>
      </c>
      <c r="C85" s="14">
        <f t="shared" si="48"/>
        <v>4.2402404807821243</v>
      </c>
      <c r="D85" s="14">
        <f t="shared" si="73"/>
        <v>0.82078956211844623</v>
      </c>
      <c r="E85" s="14">
        <f t="shared" si="49"/>
        <v>2.0229514483569231</v>
      </c>
      <c r="F85" s="14">
        <f t="shared" si="50"/>
        <v>5.3937308574315583</v>
      </c>
      <c r="G85" s="14">
        <f t="shared" si="23"/>
        <v>3.6766027104928169</v>
      </c>
      <c r="H85" s="14">
        <f t="shared" si="24"/>
        <v>3.9465079591464458</v>
      </c>
      <c r="I85" s="14">
        <f t="shared" si="25"/>
        <v>0.82394085104565828</v>
      </c>
      <c r="J85" s="14">
        <f t="shared" si="51"/>
        <v>5.4006433790419557</v>
      </c>
      <c r="K85" s="14">
        <f t="shared" si="27"/>
        <v>3.6765575810137729E-2</v>
      </c>
      <c r="L85" s="14">
        <f t="shared" si="52"/>
        <v>0.143957742049374</v>
      </c>
      <c r="M85" s="14">
        <f t="shared" si="53"/>
        <v>1.8636322852672387</v>
      </c>
      <c r="N85" s="14">
        <f t="shared" si="54"/>
        <v>0.17805023829107347</v>
      </c>
      <c r="O85" s="14">
        <f t="shared" si="31"/>
        <v>0.89248877093193968</v>
      </c>
      <c r="P85" s="14">
        <f t="shared" si="32"/>
        <v>1.1151012563846727</v>
      </c>
      <c r="Q85" s="14">
        <f t="shared" si="33"/>
        <v>-0.87099537388756554</v>
      </c>
      <c r="R85" s="1">
        <f t="shared" si="55"/>
        <v>0.44077097204183235</v>
      </c>
      <c r="S85" s="1">
        <f t="shared" si="56"/>
        <v>-0.31812773518903864</v>
      </c>
      <c r="T85" s="1">
        <f t="shared" si="57"/>
        <v>9.7438913564725809</v>
      </c>
      <c r="U85" s="1">
        <f t="shared" si="58"/>
        <v>17.448924106423007</v>
      </c>
      <c r="V85" s="1">
        <f t="shared" si="35"/>
        <v>0</v>
      </c>
      <c r="W85" s="1">
        <f t="shared" si="59"/>
        <v>9.7438913564725809</v>
      </c>
      <c r="X85" s="1">
        <f t="shared" si="60"/>
        <v>5.6256382976139117</v>
      </c>
      <c r="Z85" s="14">
        <f t="shared" si="74"/>
        <v>2.3208030914713396</v>
      </c>
      <c r="AA85" s="14">
        <f t="shared" si="61"/>
        <v>2.0229514483569653</v>
      </c>
      <c r="AB85" s="14">
        <f t="shared" si="62"/>
        <v>5.3937308574315743</v>
      </c>
      <c r="AC85" s="14">
        <f t="shared" si="37"/>
        <v>-3.6766027104927987</v>
      </c>
      <c r="AD85" s="14">
        <f t="shared" si="38"/>
        <v>3.9465079591464844</v>
      </c>
      <c r="AE85" s="14">
        <f t="shared" si="39"/>
        <v>2.3176518025441277</v>
      </c>
      <c r="AF85" s="14">
        <f t="shared" si="63"/>
        <v>5.4006433790419717</v>
      </c>
      <c r="AG85" s="14">
        <f t="shared" si="40"/>
        <v>3.6765575810139506E-2</v>
      </c>
      <c r="AH85" s="14">
        <f t="shared" si="64"/>
        <v>0.14395774204937806</v>
      </c>
      <c r="AI85" s="14">
        <f t="shared" si="65"/>
        <v>1.863632285267218</v>
      </c>
      <c r="AJ85" s="14">
        <f t="shared" si="66"/>
        <v>-0.17805023829107888</v>
      </c>
      <c r="AK85" s="14">
        <f t="shared" si="41"/>
        <v>0.89248877093193801</v>
      </c>
      <c r="AL85" s="14">
        <f t="shared" si="42"/>
        <v>1.1151012563846583</v>
      </c>
      <c r="AM85" s="14">
        <f t="shared" si="43"/>
        <v>0.87027656327719749</v>
      </c>
      <c r="AN85" s="1">
        <f t="shared" si="67"/>
        <v>-0.44107475453250522</v>
      </c>
      <c r="AO85" s="1">
        <f t="shared" si="68"/>
        <v>-0.31747627153546354</v>
      </c>
      <c r="AP85" s="1">
        <f t="shared" si="69"/>
        <v>9.7641359852600882</v>
      </c>
      <c r="AQ85" s="1">
        <f t="shared" si="70"/>
        <v>17.431936845875374</v>
      </c>
      <c r="AR85" s="1">
        <f t="shared" si="44"/>
        <v>0</v>
      </c>
      <c r="AS85" s="1">
        <f t="shared" si="71"/>
        <v>9.7641359852600882</v>
      </c>
      <c r="AT85" s="1">
        <f t="shared" si="72"/>
        <v>5.6373265394940235</v>
      </c>
    </row>
    <row r="86" spans="1:46" x14ac:dyDescent="0.25">
      <c r="A86" s="14">
        <f t="shared" si="46"/>
        <v>2.1642082724729708</v>
      </c>
      <c r="B86" s="14">
        <f t="shared" si="47"/>
        <v>-2.7959645173537426</v>
      </c>
      <c r="C86" s="14">
        <f t="shared" si="48"/>
        <v>4.1451878627752023</v>
      </c>
      <c r="D86" s="14">
        <f t="shared" si="73"/>
        <v>0.82709213997287023</v>
      </c>
      <c r="E86" s="14">
        <f t="shared" si="49"/>
        <v>2.0597170241670608</v>
      </c>
      <c r="F86" s="14">
        <f t="shared" si="50"/>
        <v>5.4076274113185363</v>
      </c>
      <c r="G86" s="14">
        <f t="shared" si="23"/>
        <v>3.6610649067520402</v>
      </c>
      <c r="H86" s="14">
        <f t="shared" si="24"/>
        <v>3.9798288867980602</v>
      </c>
      <c r="I86" s="14">
        <f t="shared" si="25"/>
        <v>0.83024342890008218</v>
      </c>
      <c r="J86" s="14">
        <f t="shared" si="51"/>
        <v>5.4146833710342426</v>
      </c>
      <c r="K86" s="14">
        <f t="shared" si="27"/>
        <v>3.6956984624884281E-2</v>
      </c>
      <c r="L86" s="14">
        <f t="shared" si="52"/>
        <v>0.14747476373926466</v>
      </c>
      <c r="M86" s="14">
        <f t="shared" si="53"/>
        <v>1.8455985570968303</v>
      </c>
      <c r="N86" s="14">
        <f t="shared" si="54"/>
        <v>0.18270560622045956</v>
      </c>
      <c r="O86" s="14">
        <f t="shared" si="31"/>
        <v>0.8906161923162117</v>
      </c>
      <c r="P86" s="14">
        <f t="shared" si="32"/>
        <v>1.1024571285198832</v>
      </c>
      <c r="Q86" s="14">
        <f t="shared" si="33"/>
        <v>-0.86201409348875824</v>
      </c>
      <c r="R86" s="1">
        <f t="shared" si="55"/>
        <v>0.44286949257090952</v>
      </c>
      <c r="S86" s="1">
        <f t="shared" si="56"/>
        <v>-0.31533157016548446</v>
      </c>
      <c r="T86" s="1">
        <f t="shared" si="57"/>
        <v>9.9085811156014767</v>
      </c>
      <c r="U86" s="1">
        <f t="shared" si="58"/>
        <v>17.478886912728296</v>
      </c>
      <c r="V86" s="1">
        <f t="shared" si="35"/>
        <v>0</v>
      </c>
      <c r="W86" s="1">
        <f t="shared" si="59"/>
        <v>9.9085811156014767</v>
      </c>
      <c r="X86" s="1">
        <f t="shared" si="60"/>
        <v>5.7207219743797548</v>
      </c>
      <c r="Z86" s="14">
        <f t="shared" si="74"/>
        <v>2.3145005136169154</v>
      </c>
      <c r="AA86" s="14">
        <f t="shared" si="61"/>
        <v>2.0597170241671048</v>
      </c>
      <c r="AB86" s="14">
        <f t="shared" si="62"/>
        <v>5.4076274113185532</v>
      </c>
      <c r="AC86" s="14">
        <f t="shared" si="37"/>
        <v>-3.661064906752022</v>
      </c>
      <c r="AD86" s="14">
        <f t="shared" si="38"/>
        <v>3.9798288867981002</v>
      </c>
      <c r="AE86" s="14">
        <f t="shared" si="39"/>
        <v>2.3113492246897032</v>
      </c>
      <c r="AF86" s="14">
        <f t="shared" si="63"/>
        <v>5.4146833710342595</v>
      </c>
      <c r="AG86" s="14">
        <f t="shared" si="40"/>
        <v>3.695698462488517E-2</v>
      </c>
      <c r="AH86" s="14">
        <f t="shared" si="64"/>
        <v>0.14747476373926877</v>
      </c>
      <c r="AI86" s="14">
        <f t="shared" si="65"/>
        <v>1.8455985570968083</v>
      </c>
      <c r="AJ86" s="14">
        <f t="shared" si="66"/>
        <v>-0.18270560622046522</v>
      </c>
      <c r="AK86" s="14">
        <f t="shared" si="41"/>
        <v>0.89061619231620914</v>
      </c>
      <c r="AL86" s="14">
        <f t="shared" si="42"/>
        <v>1.1024571285198677</v>
      </c>
      <c r="AM86" s="14">
        <f t="shared" si="43"/>
        <v>0.86132940529635149</v>
      </c>
      <c r="AN86" s="1">
        <f t="shared" si="67"/>
        <v>-0.44315885430461643</v>
      </c>
      <c r="AO86" s="1">
        <f t="shared" si="68"/>
        <v>-0.31471103192502059</v>
      </c>
      <c r="AP86" s="1">
        <f t="shared" si="69"/>
        <v>9.927965112616409</v>
      </c>
      <c r="AQ86" s="1">
        <f t="shared" si="70"/>
        <v>17.462621807982966</v>
      </c>
      <c r="AR86" s="1">
        <f t="shared" si="44"/>
        <v>0</v>
      </c>
      <c r="AS86" s="1">
        <f t="shared" si="71"/>
        <v>9.927965112616409</v>
      </c>
      <c r="AT86" s="1">
        <f t="shared" si="72"/>
        <v>5.7319133302742964</v>
      </c>
    </row>
    <row r="87" spans="1:46" x14ac:dyDescent="0.25">
      <c r="A87" s="14">
        <f t="shared" si="46"/>
        <v>2.1991148575128574</v>
      </c>
      <c r="B87" s="14">
        <f t="shared" si="47"/>
        <v>-2.9389262614623739</v>
      </c>
      <c r="C87" s="14">
        <f t="shared" si="48"/>
        <v>4.045084971874731</v>
      </c>
      <c r="D87" s="14">
        <f t="shared" si="73"/>
        <v>0.83339471782729424</v>
      </c>
      <c r="E87" s="14">
        <f t="shared" si="49"/>
        <v>2.0966740087919451</v>
      </c>
      <c r="F87" s="14">
        <f t="shared" si="50"/>
        <v>5.4218116805311203</v>
      </c>
      <c r="G87" s="14">
        <f t="shared" si="23"/>
        <v>3.6454462101506944</v>
      </c>
      <c r="H87" s="14">
        <f t="shared" si="24"/>
        <v>4.0133232897489872</v>
      </c>
      <c r="I87" s="14">
        <f t="shared" si="25"/>
        <v>0.8365460067545063</v>
      </c>
      <c r="J87" s="14">
        <f t="shared" si="51"/>
        <v>5.4290127677866682</v>
      </c>
      <c r="K87" s="14">
        <f t="shared" si="27"/>
        <v>3.7152851380235941E-2</v>
      </c>
      <c r="L87" s="14">
        <f t="shared" si="52"/>
        <v>0.1510097504707392</v>
      </c>
      <c r="M87" s="14">
        <f t="shared" si="53"/>
        <v>1.8277279116458351</v>
      </c>
      <c r="N87" s="14">
        <f t="shared" si="54"/>
        <v>0.18734007380379125</v>
      </c>
      <c r="O87" s="14">
        <f t="shared" si="31"/>
        <v>0.88861912815565591</v>
      </c>
      <c r="P87" s="14">
        <f t="shared" si="32"/>
        <v>1.0901185339609183</v>
      </c>
      <c r="Q87" s="14">
        <f t="shared" si="33"/>
        <v>-0.85310711438918396</v>
      </c>
      <c r="R87" s="1">
        <f t="shared" si="55"/>
        <v>0.44482378979540882</v>
      </c>
      <c r="S87" s="1">
        <f t="shared" si="56"/>
        <v>-0.31247362103340054</v>
      </c>
      <c r="T87" s="1">
        <f t="shared" si="57"/>
        <v>10.071774133775662</v>
      </c>
      <c r="U87" s="1">
        <f t="shared" si="58"/>
        <v>17.505975239863755</v>
      </c>
      <c r="V87" s="1">
        <f t="shared" si="35"/>
        <v>0</v>
      </c>
      <c r="W87" s="1">
        <f t="shared" si="59"/>
        <v>10.071774133775662</v>
      </c>
      <c r="X87" s="1">
        <f t="shared" si="60"/>
        <v>5.8149415073524882</v>
      </c>
      <c r="Z87" s="14">
        <f t="shared" si="74"/>
        <v>2.3081979357624913</v>
      </c>
      <c r="AA87" s="14">
        <f t="shared" si="61"/>
        <v>2.09667400879199</v>
      </c>
      <c r="AB87" s="14">
        <f t="shared" si="62"/>
        <v>5.4218116805311372</v>
      </c>
      <c r="AC87" s="14">
        <f t="shared" si="37"/>
        <v>-3.6454462101506753</v>
      </c>
      <c r="AD87" s="14">
        <f t="shared" si="38"/>
        <v>4.0133232897490272</v>
      </c>
      <c r="AE87" s="14">
        <f t="shared" si="39"/>
        <v>2.3050466468352795</v>
      </c>
      <c r="AF87" s="14">
        <f t="shared" si="63"/>
        <v>5.429012767786686</v>
      </c>
      <c r="AG87" s="14">
        <f t="shared" si="40"/>
        <v>3.7152851380236385E-2</v>
      </c>
      <c r="AH87" s="14">
        <f t="shared" si="64"/>
        <v>0.15100975047074383</v>
      </c>
      <c r="AI87" s="14">
        <f t="shared" si="65"/>
        <v>1.8277279116458136</v>
      </c>
      <c r="AJ87" s="14">
        <f t="shared" si="66"/>
        <v>-0.18734007380379714</v>
      </c>
      <c r="AK87" s="14">
        <f t="shared" si="41"/>
        <v>0.88861912815565303</v>
      </c>
      <c r="AL87" s="14">
        <f t="shared" si="42"/>
        <v>1.0901185339609043</v>
      </c>
      <c r="AM87" s="14">
        <f t="shared" si="43"/>
        <v>0.85245519203435682</v>
      </c>
      <c r="AN87" s="1">
        <f t="shared" si="67"/>
        <v>-0.44509930408779308</v>
      </c>
      <c r="AO87" s="1">
        <f t="shared" si="68"/>
        <v>-0.3118827787266833</v>
      </c>
      <c r="AP87" s="1">
        <f t="shared" si="69"/>
        <v>10.09032832338238</v>
      </c>
      <c r="AQ87" s="1">
        <f t="shared" si="70"/>
        <v>17.490406426208278</v>
      </c>
      <c r="AR87" s="1">
        <f t="shared" si="44"/>
        <v>0</v>
      </c>
      <c r="AS87" s="1">
        <f t="shared" si="71"/>
        <v>10.09032832338238</v>
      </c>
      <c r="AT87" s="1">
        <f t="shared" si="72"/>
        <v>5.8256537737165219</v>
      </c>
    </row>
    <row r="88" spans="1:46" x14ac:dyDescent="0.25">
      <c r="A88" s="14">
        <f t="shared" si="46"/>
        <v>2.234021442552744</v>
      </c>
      <c r="B88" s="14">
        <f t="shared" ref="B88:B119" si="75">R_*COS(A88)</f>
        <v>-3.0783073766282998</v>
      </c>
      <c r="C88" s="14">
        <f t="shared" ref="C88:C119" si="76">R_*SIN(A88)</f>
        <v>3.9400537680336027</v>
      </c>
      <c r="D88" s="14">
        <f t="shared" si="73"/>
        <v>0.83969729568171825</v>
      </c>
      <c r="E88" s="14">
        <f t="shared" ref="E88:E119" si="77">R_*SIN(D88-θ1+θ0)/COS(α1-D88-θ0)</f>
        <v>2.133826860172181</v>
      </c>
      <c r="F88" s="14">
        <f t="shared" ref="F88:F119" si="78">R_*SIN(PI()/2-α1+θ1)/SIN(PI()/2+α1-D88-θ0)</f>
        <v>5.4362870664813379</v>
      </c>
      <c r="G88" s="14">
        <f t="shared" si="23"/>
        <v>3.6297447366816682</v>
      </c>
      <c r="H88" s="14">
        <f t="shared" si="24"/>
        <v>4.0469952082655096</v>
      </c>
      <c r="I88" s="14">
        <f t="shared" si="25"/>
        <v>0.8428485846089302</v>
      </c>
      <c r="J88" s="14">
        <f t="shared" ref="J88:J119" si="79">R_*SIN(PI()/2-α1+θ1)/SIN(PI()/2+α1-I88)</f>
        <v>5.4436350160672147</v>
      </c>
      <c r="K88" s="14">
        <f t="shared" si="27"/>
        <v>3.7353254745249309E-2</v>
      </c>
      <c r="L88" s="14">
        <f t="shared" ref="L88:L119" si="80">p/2*(1+k)*(1-(R_/J88)^2)-p/2*(1-k)*(1-4*(R_/J88)^2+3*(R_/J88)^4)*COS(2*I88)</f>
        <v>0.15456315926491188</v>
      </c>
      <c r="M88" s="14">
        <f t="shared" ref="M88:M119" si="81">p/2*(1+k)*(1+(R_/J88)^2)+p/2*(1-k)*(1+3*(R_/J88)^4)*COS(2*I88)</f>
        <v>1.8100248162988475</v>
      </c>
      <c r="N88" s="14">
        <f t="shared" ref="N88:N119" si="82">p/2*(1-k)*(1+2*(R_/J88)^2-3*(R_/J88)^4)*SIN(2*I88)</f>
        <v>0.19194895401501053</v>
      </c>
      <c r="O88" s="14">
        <f t="shared" si="31"/>
        <v>0.88650855228205128</v>
      </c>
      <c r="P88" s="14">
        <f t="shared" si="32"/>
        <v>1.0780794232817077</v>
      </c>
      <c r="Q88" s="14">
        <f t="shared" si="33"/>
        <v>-0.84427950097757953</v>
      </c>
      <c r="R88" s="1">
        <f t="shared" ref="R88:R119" si="83">nx1_*O88+ny1_*Q88</f>
        <v>0.44664166908136038</v>
      </c>
      <c r="S88" s="1">
        <f t="shared" ref="S88:S119" si="84">nx1_*Q88+ny1_*P88</f>
        <v>-0.30956103428566617</v>
      </c>
      <c r="T88" s="1">
        <f t="shared" ref="T88:T119" si="85">(R88*nx1_+S88*ny1_)*K88*1000</f>
        <v>10.233621765187946</v>
      </c>
      <c r="U88" s="1">
        <f t="shared" ref="U88:U119" si="86">(R88*mx1_+S88*my1_)*K88*1000</f>
        <v>17.530498845805866</v>
      </c>
      <c r="V88" s="1">
        <f t="shared" si="35"/>
        <v>0</v>
      </c>
      <c r="W88" s="1">
        <f t="shared" ref="W88:W119" si="87">IF(-T88&gt;=σt*K88,0,T88)</f>
        <v>10.233621765187946</v>
      </c>
      <c r="X88" s="1">
        <f t="shared" ref="X88:X119" si="88">IF(-T88&gt;=σt*K88,0,SIGN(U88)*IF(T88&lt;0,MIN(ABS(U88),c_*K88),MIN(ABS(U88),c_*K88+T88*TAN(φ))))</f>
        <v>5.9083842809160734</v>
      </c>
      <c r="Z88" s="14">
        <f t="shared" si="74"/>
        <v>2.3018953579080672</v>
      </c>
      <c r="AA88" s="14">
        <f t="shared" ref="AA88:AA119" si="89">R_*SIN(PI()-Z88-θ2-θ0)/COS(α2-PI()+Z88+θ0)</f>
        <v>2.1338268601722263</v>
      </c>
      <c r="AB88" s="14">
        <f t="shared" ref="AB88:AB119" si="90">R_*SIN(PI()/2-α2+θ2)/SIN(PI()/2+α2-PI()+Z88+θ0)</f>
        <v>5.4362870664813556</v>
      </c>
      <c r="AC88" s="14">
        <f t="shared" si="37"/>
        <v>-3.6297447366816487</v>
      </c>
      <c r="AD88" s="14">
        <f t="shared" si="38"/>
        <v>4.0469952082655514</v>
      </c>
      <c r="AE88" s="14">
        <f t="shared" si="39"/>
        <v>2.2987440689808549</v>
      </c>
      <c r="AF88" s="14">
        <f t="shared" ref="AF88:AF119" si="91">R_*SIN(PI()/2-α2+θ2)/SIN(PI()/2+α2-PI()+AE88)</f>
        <v>5.4436350160672333</v>
      </c>
      <c r="AG88" s="14">
        <f t="shared" si="40"/>
        <v>3.7353254745250641E-2</v>
      </c>
      <c r="AH88" s="14">
        <f t="shared" ref="AH88:AH119" si="92">p/2*(1+k)*(1-(R_/AF88)^2)-p/2*(1-k)*(1-4*(R_/AF88)^2+3*(R_/AF88)^4)*COS(2*AE88)</f>
        <v>0.15456315926491623</v>
      </c>
      <c r="AI88" s="14">
        <f t="shared" ref="AI88:AI119" si="93">p/2*(1+k)*(1+(R_/AF88)^2)+p/2*(1-k)*(1+3*(R_/AF88)^4)*COS(2*AE88)</f>
        <v>1.8100248162988251</v>
      </c>
      <c r="AJ88" s="14">
        <f t="shared" ref="AJ88:AJ119" si="94">p/2*(1-k)*(1+2*(R_/AF88)^2-3*(R_/AF88)^4)*SIN(2*AE88)</f>
        <v>-0.19194895401501633</v>
      </c>
      <c r="AK88" s="14">
        <f t="shared" si="41"/>
        <v>0.88650855228204883</v>
      </c>
      <c r="AL88" s="14">
        <f t="shared" si="42"/>
        <v>1.0780794232816926</v>
      </c>
      <c r="AM88" s="14">
        <f t="shared" si="43"/>
        <v>0.84365904142421333</v>
      </c>
      <c r="AN88" s="1">
        <f t="shared" ref="AN88:AN119" si="95">nx2_*AK88+ny2_*AM88</f>
        <v>-0.44690388661928215</v>
      </c>
      <c r="AO88" s="1">
        <f t="shared" ref="AO88:AO119" si="96">nx2_*AM88+ny2_*AL88</f>
        <v>-0.30899870696091547</v>
      </c>
      <c r="AP88" s="1">
        <f t="shared" ref="AP88:AP119" si="97">(AN88*nx2_+AO88*ny2_)*AG88*1000</f>
        <v>10.25137575196713</v>
      </c>
      <c r="AQ88" s="1">
        <f t="shared" ref="AQ88:AQ119" si="98">(AN88*mx2_+AO88*my2_)*AG88*1000</f>
        <v>17.515601482048488</v>
      </c>
      <c r="AR88" s="1">
        <f t="shared" si="44"/>
        <v>0</v>
      </c>
      <c r="AS88" s="1">
        <f t="shared" ref="AS88:AS119" si="99">IF(-AP88&gt;=σt*AG88,0,AP88)</f>
        <v>10.25137575196713</v>
      </c>
      <c r="AT88" s="1">
        <f t="shared" ref="AT88:AT119" si="100">IF(-AP88&gt;=σt*AG88,0,SIGN(AQ88)*IF(AP88&lt;0,MIN(ABS(AQ88),c_*AG88),MIN(ABS(AQ88),c_*AG88+AP88*TAN(φ))))</f>
        <v>5.9186345499622242</v>
      </c>
    </row>
    <row r="89" spans="1:46" x14ac:dyDescent="0.25">
      <c r="A89" s="14">
        <f t="shared" si="46"/>
        <v>2.2689280275926307</v>
      </c>
      <c r="B89" s="14">
        <f t="shared" si="75"/>
        <v>-3.2139380484327051</v>
      </c>
      <c r="C89" s="14">
        <f t="shared" si="76"/>
        <v>3.8302222155948829</v>
      </c>
      <c r="D89" s="14">
        <f t="shared" ref="D89:D120" si="101">D88+(PI()/2-θ1)/180</f>
        <v>0.84599987353614226</v>
      </c>
      <c r="E89" s="14">
        <f t="shared" si="77"/>
        <v>2.1711801149174303</v>
      </c>
      <c r="F89" s="14">
        <f t="shared" si="78"/>
        <v>5.4510570618379033</v>
      </c>
      <c r="G89" s="14">
        <f t="shared" ref="G89:G152" si="102">F89*COS(D89)</f>
        <v>3.6139585690908738</v>
      </c>
      <c r="H89" s="14">
        <f t="shared" ref="H89:H152" si="103">F89*SIN(D89)</f>
        <v>4.080848753912294</v>
      </c>
      <c r="I89" s="14">
        <f t="shared" ref="I89:I152" si="104">(D89+D90)/2</f>
        <v>0.84915116246335431</v>
      </c>
      <c r="J89" s="14">
        <f t="shared" si="79"/>
        <v>5.4585536549996299</v>
      </c>
      <c r="K89" s="14">
        <f t="shared" ref="K89:K152" si="105">(E90-E89)</f>
        <v>3.7558275811826913E-2</v>
      </c>
      <c r="L89" s="14">
        <f t="shared" si="80"/>
        <v>0.15813554162325383</v>
      </c>
      <c r="M89" s="14">
        <f t="shared" si="81"/>
        <v>1.79249353118342</v>
      </c>
      <c r="N89" s="14">
        <f t="shared" si="82"/>
        <v>0.19652756321247869</v>
      </c>
      <c r="O89" s="14">
        <f t="shared" ref="O89:O152" si="106">L89*COS(I89)^2+M89*SIN(I89)^2-N89*SIN(2*I89)</f>
        <v>0.88429548317846729</v>
      </c>
      <c r="P89" s="14">
        <f t="shared" ref="P89:P152" si="107">L89*SIN(I89)^2+M89*COS(I89)^2+N89*SIN(2*I89)</f>
        <v>1.0663335896282062</v>
      </c>
      <c r="Q89" s="14">
        <f t="shared" ref="Q89:Q152" si="108">0.5*(L89-M89)*SIN(2*I89)+N89*COS(2*I89)</f>
        <v>-0.83553583080683635</v>
      </c>
      <c r="R89" s="1">
        <f t="shared" si="83"/>
        <v>0.44833118200832539</v>
      </c>
      <c r="S89" s="1">
        <f t="shared" si="84"/>
        <v>-0.30660058172397975</v>
      </c>
      <c r="T89" s="1">
        <f t="shared" si="85"/>
        <v>10.394291761150718</v>
      </c>
      <c r="U89" s="1">
        <f t="shared" si="86"/>
        <v>17.552764034604607</v>
      </c>
      <c r="V89" s="1">
        <f t="shared" ref="V89:V152" si="109">IF(SQRT((W89-T89)^2+(U89-X89)^2)&gt;0.001,0,K89)</f>
        <v>0</v>
      </c>
      <c r="W89" s="1">
        <f t="shared" si="87"/>
        <v>10.394291761150718</v>
      </c>
      <c r="X89" s="1">
        <f t="shared" si="88"/>
        <v>6.0011471463358763</v>
      </c>
      <c r="Z89" s="14">
        <f t="shared" ref="Z89:Z120" si="110">Z88-(PI()/2-θ2)/180</f>
        <v>2.2955927800536431</v>
      </c>
      <c r="AA89" s="14">
        <f t="shared" si="89"/>
        <v>2.171180114917477</v>
      </c>
      <c r="AB89" s="14">
        <f t="shared" si="90"/>
        <v>5.451057061837921</v>
      </c>
      <c r="AC89" s="14">
        <f t="shared" ref="AC89:AC152" si="111">AB89*COS(Z89)</f>
        <v>-3.6139585690908533</v>
      </c>
      <c r="AD89" s="14">
        <f t="shared" ref="AD89:AD152" si="112">AB89*SIN(Z89)</f>
        <v>4.0808487539123357</v>
      </c>
      <c r="AE89" s="14">
        <f t="shared" ref="AE89:AE152" si="113">(Z89+Z90)/2</f>
        <v>2.2924414911264313</v>
      </c>
      <c r="AF89" s="14">
        <f t="shared" si="91"/>
        <v>5.4585536549996476</v>
      </c>
      <c r="AG89" s="14">
        <f t="shared" ref="AG89:AG152" si="114">AA90-AA89</f>
        <v>3.7558275811827357E-2</v>
      </c>
      <c r="AH89" s="14">
        <f t="shared" si="92"/>
        <v>0.15813554162325777</v>
      </c>
      <c r="AI89" s="14">
        <f t="shared" si="93"/>
        <v>1.7924935311833989</v>
      </c>
      <c r="AJ89" s="14">
        <f t="shared" si="94"/>
        <v>-0.19652756321248388</v>
      </c>
      <c r="AK89" s="14">
        <f t="shared" ref="AK89:AK152" si="115">AH89*COS(AE89)^2+AI89*SIN(AE89)^2-AJ89*SIN(2*AE89)</f>
        <v>0.88429548317846518</v>
      </c>
      <c r="AL89" s="14">
        <f t="shared" ref="AL89:AL152" si="116">AH89*SIN(AE89)^2+AI89*COS(AE89)^2+AJ89*SIN(2*AE89)</f>
        <v>1.0663335896281918</v>
      </c>
      <c r="AM89" s="14">
        <f t="shared" ref="AM89:AM152" si="117">0.5*(AH89-AI89)*SIN(2*Z89)+AJ89*COS(2*Z89)</f>
        <v>0.83494558520955275</v>
      </c>
      <c r="AN89" s="1">
        <f t="shared" si="95"/>
        <v>-0.4485806305766476</v>
      </c>
      <c r="AO89" s="1">
        <f t="shared" si="96"/>
        <v>-0.30606563754290356</v>
      </c>
      <c r="AP89" s="1">
        <f t="shared" si="97"/>
        <v>10.411273899308368</v>
      </c>
      <c r="AQ89" s="1">
        <f t="shared" si="98"/>
        <v>17.538514328740273</v>
      </c>
      <c r="AR89" s="1">
        <f t="shared" ref="AR89:AR152" si="118">IF(SQRT((AS89-AP89)^2+(AQ89-AT89)^2)&gt;0.001,0,AG89)</f>
        <v>0</v>
      </c>
      <c r="AS89" s="1">
        <f t="shared" si="99"/>
        <v>10.411273899308368</v>
      </c>
      <c r="AT89" s="1">
        <f t="shared" si="100"/>
        <v>6.0109517883726102</v>
      </c>
    </row>
    <row r="90" spans="1:46" x14ac:dyDescent="0.25">
      <c r="A90" s="14">
        <f t="shared" ref="A90:A153" si="119">A89+2*PI()/180</f>
        <v>2.3038346126325173</v>
      </c>
      <c r="B90" s="14">
        <f t="shared" si="75"/>
        <v>-3.3456530317942996</v>
      </c>
      <c r="C90" s="14">
        <f t="shared" si="76"/>
        <v>3.7157241273869634</v>
      </c>
      <c r="D90" s="14">
        <f t="shared" si="101"/>
        <v>0.85230245139056626</v>
      </c>
      <c r="E90" s="14">
        <f t="shared" si="77"/>
        <v>2.2087383907292573</v>
      </c>
      <c r="F90" s="14">
        <f t="shared" si="78"/>
        <v>5.4661252527435993</v>
      </c>
      <c r="G90" s="14">
        <f t="shared" si="102"/>
        <v>3.5980857558533019</v>
      </c>
      <c r="H90" s="14">
        <f t="shared" si="103"/>
        <v>4.1148881117482228</v>
      </c>
      <c r="I90" s="14">
        <f t="shared" si="104"/>
        <v>0.85545374031777821</v>
      </c>
      <c r="J90" s="14">
        <f t="shared" si="79"/>
        <v>5.4737723183196092</v>
      </c>
      <c r="K90" s="14">
        <f t="shared" si="105"/>
        <v>3.7767998169168315E-2</v>
      </c>
      <c r="L90" s="14">
        <f t="shared" si="80"/>
        <v>0.16172754235316988</v>
      </c>
      <c r="M90" s="14">
        <f t="shared" si="81"/>
        <v>1.7751381079508612</v>
      </c>
      <c r="N90" s="14">
        <f t="shared" si="82"/>
        <v>0.20107122687087756</v>
      </c>
      <c r="O90" s="14">
        <f t="shared" si="106"/>
        <v>0.88199095806321703</v>
      </c>
      <c r="P90" s="14">
        <f t="shared" si="107"/>
        <v>1.0548746922408141</v>
      </c>
      <c r="Q90" s="14">
        <f t="shared" si="108"/>
        <v>-0.82688019397318258</v>
      </c>
      <c r="R90" s="1">
        <f t="shared" si="83"/>
        <v>0.44990060314385011</v>
      </c>
      <c r="S90" s="1">
        <f t="shared" si="84"/>
        <v>-0.30359864995520275</v>
      </c>
      <c r="T90" s="1">
        <f t="shared" si="85"/>
        <v>10.553968204177361</v>
      </c>
      <c r="U90" s="1">
        <f t="shared" si="86"/>
        <v>17.573073055745535</v>
      </c>
      <c r="V90" s="1">
        <f t="shared" si="109"/>
        <v>0</v>
      </c>
      <c r="W90" s="1">
        <f t="shared" si="87"/>
        <v>10.553968204177361</v>
      </c>
      <c r="X90" s="1">
        <f t="shared" si="88"/>
        <v>6.0933363837005503</v>
      </c>
      <c r="Z90" s="14">
        <f t="shared" si="110"/>
        <v>2.289290202199219</v>
      </c>
      <c r="AA90" s="14">
        <f t="shared" si="89"/>
        <v>2.2087383907293043</v>
      </c>
      <c r="AB90" s="14">
        <f t="shared" si="90"/>
        <v>5.4661252527436179</v>
      </c>
      <c r="AC90" s="14">
        <f t="shared" si="111"/>
        <v>-3.5980857558532811</v>
      </c>
      <c r="AD90" s="14">
        <f t="shared" si="112"/>
        <v>4.1148881117482654</v>
      </c>
      <c r="AE90" s="14">
        <f t="shared" si="113"/>
        <v>2.2861389132720067</v>
      </c>
      <c r="AF90" s="14">
        <f t="shared" si="91"/>
        <v>5.4737723183196296</v>
      </c>
      <c r="AG90" s="14">
        <f t="shared" si="114"/>
        <v>3.7767998169169203E-2</v>
      </c>
      <c r="AH90" s="14">
        <f t="shared" si="92"/>
        <v>0.16172754235317455</v>
      </c>
      <c r="AI90" s="14">
        <f t="shared" si="93"/>
        <v>1.7751381079508386</v>
      </c>
      <c r="AJ90" s="14">
        <f t="shared" si="94"/>
        <v>-0.20107122687088355</v>
      </c>
      <c r="AK90" s="14">
        <f t="shared" si="115"/>
        <v>0.88199095806321381</v>
      </c>
      <c r="AL90" s="14">
        <f t="shared" si="116"/>
        <v>1.054874692240799</v>
      </c>
      <c r="AM90" s="14">
        <f t="shared" si="117"/>
        <v>0.82631896816803319</v>
      </c>
      <c r="AN90" s="1">
        <f t="shared" si="95"/>
        <v>-0.45013778741806343</v>
      </c>
      <c r="AO90" s="1">
        <f t="shared" si="96"/>
        <v>-0.30309000663771629</v>
      </c>
      <c r="AP90" s="1">
        <f t="shared" si="97"/>
        <v>10.570205569599363</v>
      </c>
      <c r="AQ90" s="1">
        <f t="shared" si="98"/>
        <v>17.559448288409271</v>
      </c>
      <c r="AR90" s="1">
        <f t="shared" si="118"/>
        <v>0</v>
      </c>
      <c r="AS90" s="1">
        <f t="shared" si="99"/>
        <v>10.570205569599363</v>
      </c>
      <c r="AT90" s="1">
        <f t="shared" si="100"/>
        <v>6.1027110309978729</v>
      </c>
    </row>
    <row r="91" spans="1:46" x14ac:dyDescent="0.25">
      <c r="A91" s="14">
        <f t="shared" si="119"/>
        <v>2.338741197672404</v>
      </c>
      <c r="B91" s="14">
        <f t="shared" si="75"/>
        <v>-3.4732918522949947</v>
      </c>
      <c r="C91" s="14">
        <f t="shared" si="76"/>
        <v>3.5966990016932474</v>
      </c>
      <c r="D91" s="14">
        <f t="shared" si="101"/>
        <v>0.85860502924499027</v>
      </c>
      <c r="E91" s="14">
        <f t="shared" si="77"/>
        <v>2.2465063888984256</v>
      </c>
      <c r="F91" s="14">
        <f t="shared" si="78"/>
        <v>5.4814953211109696</v>
      </c>
      <c r="G91" s="14">
        <f t="shared" si="102"/>
        <v>3.5821243101176221</v>
      </c>
      <c r="H91" s="14">
        <f t="shared" si="103"/>
        <v>4.1491175425897255</v>
      </c>
      <c r="I91" s="14">
        <f t="shared" si="104"/>
        <v>0.86175631817220233</v>
      </c>
      <c r="J91" s="14">
        <f t="shared" si="79"/>
        <v>5.4892947367107201</v>
      </c>
      <c r="K91" s="14">
        <f t="shared" si="105"/>
        <v>3.7982507981217495E-2</v>
      </c>
      <c r="L91" s="14">
        <f t="shared" si="80"/>
        <v>0.16533989822417622</v>
      </c>
      <c r="M91" s="14">
        <f t="shared" si="81"/>
        <v>1.7579623887986562</v>
      </c>
      <c r="N91" s="14">
        <f t="shared" si="82"/>
        <v>0.20557528529288649</v>
      </c>
      <c r="O91" s="14">
        <f t="shared" si="106"/>
        <v>0.87960600711870585</v>
      </c>
      <c r="P91" s="14">
        <f t="shared" si="107"/>
        <v>1.0436962799041265</v>
      </c>
      <c r="Q91" s="14">
        <f t="shared" si="108"/>
        <v>-0.81831619371027242</v>
      </c>
      <c r="R91" s="1">
        <f t="shared" si="83"/>
        <v>0.45135840643579722</v>
      </c>
      <c r="S91" s="1">
        <f t="shared" si="84"/>
        <v>-0.30056123101949517</v>
      </c>
      <c r="T91" s="1">
        <f t="shared" si="85"/>
        <v>10.712851421932308</v>
      </c>
      <c r="U91" s="1">
        <f t="shared" si="86"/>
        <v>17.591723507525383</v>
      </c>
      <c r="V91" s="1">
        <f t="shared" si="109"/>
        <v>0</v>
      </c>
      <c r="W91" s="1">
        <f t="shared" si="87"/>
        <v>10.712851421932308</v>
      </c>
      <c r="X91" s="1">
        <f t="shared" si="88"/>
        <v>6.1850676522410826</v>
      </c>
      <c r="Z91" s="14">
        <f t="shared" si="110"/>
        <v>2.2829876243447949</v>
      </c>
      <c r="AA91" s="14">
        <f t="shared" si="89"/>
        <v>2.2465063888984735</v>
      </c>
      <c r="AB91" s="14">
        <f t="shared" si="90"/>
        <v>5.4814953211109891</v>
      </c>
      <c r="AC91" s="14">
        <f t="shared" si="111"/>
        <v>-3.5821243101176012</v>
      </c>
      <c r="AD91" s="14">
        <f t="shared" si="112"/>
        <v>4.1491175425897691</v>
      </c>
      <c r="AE91" s="14">
        <f t="shared" si="113"/>
        <v>2.279836335417583</v>
      </c>
      <c r="AF91" s="14">
        <f t="shared" si="91"/>
        <v>5.4892947367107396</v>
      </c>
      <c r="AG91" s="14">
        <f t="shared" si="114"/>
        <v>3.7982507981218827E-2</v>
      </c>
      <c r="AH91" s="14">
        <f t="shared" si="92"/>
        <v>0.16533989822418091</v>
      </c>
      <c r="AI91" s="14">
        <f t="shared" si="93"/>
        <v>1.7579623887986344</v>
      </c>
      <c r="AJ91" s="14">
        <f t="shared" si="94"/>
        <v>-0.20557528529289229</v>
      </c>
      <c r="AK91" s="14">
        <f t="shared" si="115"/>
        <v>0.8796060071187024</v>
      </c>
      <c r="AL91" s="14">
        <f t="shared" si="116"/>
        <v>1.043696279904113</v>
      </c>
      <c r="AM91" s="14">
        <f t="shared" si="117"/>
        <v>0.81778284855031846</v>
      </c>
      <c r="AN91" s="1">
        <f t="shared" si="95"/>
        <v>-0.45158380784020163</v>
      </c>
      <c r="AO91" s="1">
        <f t="shared" si="96"/>
        <v>-0.3000778561478562</v>
      </c>
      <c r="AP91" s="1">
        <f t="shared" si="97"/>
        <v>10.728369786936451</v>
      </c>
      <c r="AQ91" s="1">
        <f t="shared" si="98"/>
        <v>17.57870205317484</v>
      </c>
      <c r="AR91" s="1">
        <f t="shared" si="118"/>
        <v>0</v>
      </c>
      <c r="AS91" s="1">
        <f t="shared" si="99"/>
        <v>10.728369786936451</v>
      </c>
      <c r="AT91" s="1">
        <f t="shared" si="100"/>
        <v>6.1940271844536072</v>
      </c>
    </row>
    <row r="92" spans="1:46" x14ac:dyDescent="0.25">
      <c r="A92" s="14">
        <f t="shared" si="119"/>
        <v>2.3736477827122906</v>
      </c>
      <c r="B92" s="14">
        <f t="shared" si="75"/>
        <v>-3.5966990016932638</v>
      </c>
      <c r="C92" s="14">
        <f t="shared" si="76"/>
        <v>3.4732918522949778</v>
      </c>
      <c r="D92" s="14">
        <f t="shared" si="101"/>
        <v>0.86490760709941428</v>
      </c>
      <c r="E92" s="14">
        <f t="shared" si="77"/>
        <v>2.2844888968796431</v>
      </c>
      <c r="F92" s="14">
        <f t="shared" si="78"/>
        <v>5.4971710469992088</v>
      </c>
      <c r="G92" s="14">
        <f t="shared" si="102"/>
        <v>3.5660722086180474</v>
      </c>
      <c r="H92" s="14">
        <f t="shared" si="103"/>
        <v>4.1835413853442844</v>
      </c>
      <c r="I92" s="14">
        <f t="shared" si="104"/>
        <v>0.86805889602662623</v>
      </c>
      <c r="J92" s="14">
        <f t="shared" si="79"/>
        <v>5.5051247402230192</v>
      </c>
      <c r="K92" s="14">
        <f t="shared" si="105"/>
        <v>3.8201894067233511E-2</v>
      </c>
      <c r="L92" s="14">
        <f t="shared" si="80"/>
        <v>0.16897343645635127</v>
      </c>
      <c r="M92" s="14">
        <f t="shared" si="81"/>
        <v>1.7409700057342179</v>
      </c>
      <c r="N92" s="14">
        <f t="shared" si="82"/>
        <v>0.21003509929304134</v>
      </c>
      <c r="O92" s="14">
        <f t="shared" si="106"/>
        <v>0.8771516279250835</v>
      </c>
      <c r="P92" s="14">
        <f t="shared" si="107"/>
        <v>1.0327918142654857</v>
      </c>
      <c r="Q92" s="14">
        <f t="shared" si="108"/>
        <v>-0.80984694818796754</v>
      </c>
      <c r="R92" s="1">
        <f t="shared" si="83"/>
        <v>0.45271324128116819</v>
      </c>
      <c r="S92" s="1">
        <f t="shared" si="84"/>
        <v>-0.29749391416571846</v>
      </c>
      <c r="T92" s="1">
        <f t="shared" si="85"/>
        <v>10.871157881348779</v>
      </c>
      <c r="U92" s="1">
        <f t="shared" si="86"/>
        <v>17.609007745273175</v>
      </c>
      <c r="V92" s="1">
        <f t="shared" si="109"/>
        <v>0</v>
      </c>
      <c r="W92" s="1">
        <f t="shared" si="87"/>
        <v>10.871157881348779</v>
      </c>
      <c r="X92" s="1">
        <f t="shared" si="88"/>
        <v>6.276465929199639</v>
      </c>
      <c r="Z92" s="14">
        <f t="shared" si="110"/>
        <v>2.2766850464903707</v>
      </c>
      <c r="AA92" s="14">
        <f t="shared" si="89"/>
        <v>2.2844888968796924</v>
      </c>
      <c r="AB92" s="14">
        <f t="shared" si="90"/>
        <v>5.4971710469992292</v>
      </c>
      <c r="AC92" s="14">
        <f t="shared" si="111"/>
        <v>-3.5660722086180265</v>
      </c>
      <c r="AD92" s="14">
        <f t="shared" si="112"/>
        <v>4.1835413853443297</v>
      </c>
      <c r="AE92" s="14">
        <f t="shared" si="113"/>
        <v>2.2735337575631585</v>
      </c>
      <c r="AF92" s="14">
        <f t="shared" si="91"/>
        <v>5.5051247402230405</v>
      </c>
      <c r="AG92" s="14">
        <f t="shared" si="114"/>
        <v>3.8201894067234399E-2</v>
      </c>
      <c r="AH92" s="14">
        <f t="shared" si="92"/>
        <v>0.16897343645635612</v>
      </c>
      <c r="AI92" s="14">
        <f t="shared" si="93"/>
        <v>1.7409700057341948</v>
      </c>
      <c r="AJ92" s="14">
        <f t="shared" si="94"/>
        <v>-0.21003509929304717</v>
      </c>
      <c r="AK92" s="14">
        <f t="shared" si="115"/>
        <v>0.87715162792508017</v>
      </c>
      <c r="AL92" s="14">
        <f t="shared" si="116"/>
        <v>1.0327918142654706</v>
      </c>
      <c r="AM92" s="14">
        <f t="shared" si="117"/>
        <v>0.80934039972476202</v>
      </c>
      <c r="AN92" s="1">
        <f t="shared" si="95"/>
        <v>-0.4529273179121725</v>
      </c>
      <c r="AO92" s="1">
        <f t="shared" si="96"/>
        <v>-0.29703482534901016</v>
      </c>
      <c r="AP92" s="1">
        <f t="shared" si="97"/>
        <v>10.885981692192717</v>
      </c>
      <c r="AQ92" s="1">
        <f t="shared" si="98"/>
        <v>17.596569091062005</v>
      </c>
      <c r="AR92" s="1">
        <f t="shared" si="118"/>
        <v>0</v>
      </c>
      <c r="AS92" s="1">
        <f t="shared" si="99"/>
        <v>10.885981692192717</v>
      </c>
      <c r="AT92" s="1">
        <f t="shared" si="100"/>
        <v>6.2850244603808028</v>
      </c>
    </row>
    <row r="93" spans="1:46" x14ac:dyDescent="0.25">
      <c r="A93" s="14">
        <f t="shared" si="119"/>
        <v>2.4085543677521772</v>
      </c>
      <c r="B93" s="14">
        <f t="shared" si="75"/>
        <v>-3.7157241273869794</v>
      </c>
      <c r="C93" s="14">
        <f t="shared" si="76"/>
        <v>3.3456530317942823</v>
      </c>
      <c r="D93" s="14">
        <f t="shared" si="101"/>
        <v>0.87121018495383828</v>
      </c>
      <c r="E93" s="14">
        <f t="shared" si="77"/>
        <v>2.3226907909468766</v>
      </c>
      <c r="F93" s="14">
        <f t="shared" si="78"/>
        <v>5.5131563110753019</v>
      </c>
      <c r="G93" s="14">
        <f t="shared" si="102"/>
        <v>3.5499273905521509</v>
      </c>
      <c r="H93" s="14">
        <f t="shared" si="103"/>
        <v>4.2181640594169671</v>
      </c>
      <c r="I93" s="14">
        <f t="shared" si="104"/>
        <v>0.87436147388105034</v>
      </c>
      <c r="J93" s="14">
        <f t="shared" si="79"/>
        <v>5.5212662607775096</v>
      </c>
      <c r="K93" s="14">
        <f t="shared" si="105"/>
        <v>3.8426247985614115E-2</v>
      </c>
      <c r="L93" s="14">
        <f t="shared" si="80"/>
        <v>0.17262907304300024</v>
      </c>
      <c r="M93" s="14">
        <f t="shared" si="81"/>
        <v>1.7241643800793394</v>
      </c>
      <c r="N93" s="14">
        <f t="shared" si="82"/>
        <v>0.21444605584625606</v>
      </c>
      <c r="O93" s="14">
        <f t="shared" si="106"/>
        <v>0.87463876015787312</v>
      </c>
      <c r="P93" s="14">
        <f t="shared" si="107"/>
        <v>1.0221546929644665</v>
      </c>
      <c r="Q93" s="14">
        <f t="shared" si="108"/>
        <v>-0.8014750935026943</v>
      </c>
      <c r="R93" s="1">
        <f t="shared" si="83"/>
        <v>0.45397390833058804</v>
      </c>
      <c r="S93" s="1">
        <f t="shared" si="84"/>
        <v>-0.29440187878667778</v>
      </c>
      <c r="T93" s="1">
        <f t="shared" si="85"/>
        <v>11.029120063249964</v>
      </c>
      <c r="U93" s="1">
        <f t="shared" si="86"/>
        <v>17.625212295237397</v>
      </c>
      <c r="V93" s="1">
        <f t="shared" si="109"/>
        <v>0</v>
      </c>
      <c r="W93" s="1">
        <f t="shared" si="87"/>
        <v>11.029120063249964</v>
      </c>
      <c r="X93" s="1">
        <f t="shared" si="88"/>
        <v>6.3676654374420689</v>
      </c>
      <c r="Z93" s="14">
        <f t="shared" si="110"/>
        <v>2.2703824686359466</v>
      </c>
      <c r="AA93" s="14">
        <f t="shared" si="89"/>
        <v>2.3226907909469268</v>
      </c>
      <c r="AB93" s="14">
        <f t="shared" si="90"/>
        <v>5.5131563110753232</v>
      </c>
      <c r="AC93" s="14">
        <f t="shared" si="111"/>
        <v>-3.5499273905521291</v>
      </c>
      <c r="AD93" s="14">
        <f t="shared" si="112"/>
        <v>4.2181640594170133</v>
      </c>
      <c r="AE93" s="14">
        <f t="shared" si="113"/>
        <v>2.2672311797087348</v>
      </c>
      <c r="AF93" s="14">
        <f t="shared" si="91"/>
        <v>5.52126626077753</v>
      </c>
      <c r="AG93" s="14">
        <f t="shared" si="114"/>
        <v>3.8426247985615447E-2</v>
      </c>
      <c r="AH93" s="14">
        <f t="shared" si="92"/>
        <v>0.17262907304300495</v>
      </c>
      <c r="AI93" s="14">
        <f t="shared" si="93"/>
        <v>1.7241643800793178</v>
      </c>
      <c r="AJ93" s="14">
        <f t="shared" si="94"/>
        <v>-0.2144460558462617</v>
      </c>
      <c r="AK93" s="14">
        <f t="shared" si="115"/>
        <v>0.87463876015786979</v>
      </c>
      <c r="AL93" s="14">
        <f t="shared" si="116"/>
        <v>1.0221546929644529</v>
      </c>
      <c r="AM93" s="14">
        <f t="shared" si="117"/>
        <v>0.80099431301509449</v>
      </c>
      <c r="AN93" s="1">
        <f t="shared" si="95"/>
        <v>-0.45417709494453323</v>
      </c>
      <c r="AO93" s="1">
        <f t="shared" si="96"/>
        <v>-0.29396614368691648</v>
      </c>
      <c r="AP93" s="1">
        <f t="shared" si="97"/>
        <v>11.043272420444817</v>
      </c>
      <c r="AQ93" s="1">
        <f t="shared" si="98"/>
        <v>17.613337057535823</v>
      </c>
      <c r="AR93" s="1">
        <f t="shared" si="118"/>
        <v>0</v>
      </c>
      <c r="AS93" s="1">
        <f t="shared" si="99"/>
        <v>11.043272420444817</v>
      </c>
      <c r="AT93" s="1">
        <f t="shared" si="100"/>
        <v>6.3758363046781845</v>
      </c>
    </row>
    <row r="94" spans="1:46" x14ac:dyDescent="0.25">
      <c r="A94" s="14">
        <f t="shared" si="119"/>
        <v>2.4434609527920639</v>
      </c>
      <c r="B94" s="14">
        <f t="shared" si="75"/>
        <v>-3.8302222155948979</v>
      </c>
      <c r="C94" s="14">
        <f t="shared" si="76"/>
        <v>3.2139380484326874</v>
      </c>
      <c r="D94" s="14">
        <f t="shared" si="101"/>
        <v>0.87751276280826229</v>
      </c>
      <c r="E94" s="14">
        <f t="shared" si="77"/>
        <v>2.3611170389324907</v>
      </c>
      <c r="F94" s="14">
        <f t="shared" si="78"/>
        <v>5.5294550971625887</v>
      </c>
      <c r="G94" s="14">
        <f t="shared" si="102"/>
        <v>3.5336877564232529</v>
      </c>
      <c r="H94" s="14">
        <f t="shared" si="103"/>
        <v>4.2529900671929308</v>
      </c>
      <c r="I94" s="14">
        <f t="shared" si="104"/>
        <v>0.88066405173547424</v>
      </c>
      <c r="J94" s="14">
        <f t="shared" si="79"/>
        <v>5.5377233347596402</v>
      </c>
      <c r="K94" s="14">
        <f t="shared" si="105"/>
        <v>3.8655664121129085E-2</v>
      </c>
      <c r="L94" s="14">
        <f t="shared" si="80"/>
        <v>0.17630781090971087</v>
      </c>
      <c r="M94" s="14">
        <f t="shared" si="81"/>
        <v>1.7075487222144587</v>
      </c>
      <c r="N94" s="14">
        <f t="shared" si="82"/>
        <v>0.21880357369351466</v>
      </c>
      <c r="O94" s="14">
        <f t="shared" si="106"/>
        <v>0.87207826060792937</v>
      </c>
      <c r="P94" s="14">
        <f t="shared" si="107"/>
        <v>1.0117782725162403</v>
      </c>
      <c r="Q94" s="14">
        <f t="shared" si="108"/>
        <v>-0.79320278784344067</v>
      </c>
      <c r="R94" s="1">
        <f t="shared" si="83"/>
        <v>0.4551493350880717</v>
      </c>
      <c r="S94" s="1">
        <f t="shared" si="84"/>
        <v>-0.29128988852386883</v>
      </c>
      <c r="T94" s="1">
        <f t="shared" si="85"/>
        <v>11.186986317854201</v>
      </c>
      <c r="U94" s="1">
        <f t="shared" si="86"/>
        <v>17.640617274958725</v>
      </c>
      <c r="V94" s="1">
        <f t="shared" si="109"/>
        <v>0</v>
      </c>
      <c r="W94" s="1">
        <f t="shared" si="87"/>
        <v>11.186986317854201</v>
      </c>
      <c r="X94" s="1">
        <f t="shared" si="88"/>
        <v>6.4588095620337826</v>
      </c>
      <c r="Z94" s="14">
        <f t="shared" si="110"/>
        <v>2.2640798907815225</v>
      </c>
      <c r="AA94" s="14">
        <f t="shared" si="89"/>
        <v>2.3611170389325422</v>
      </c>
      <c r="AB94" s="14">
        <f t="shared" si="90"/>
        <v>5.5294550971626109</v>
      </c>
      <c r="AC94" s="14">
        <f t="shared" si="111"/>
        <v>-3.5336877564232312</v>
      </c>
      <c r="AD94" s="14">
        <f t="shared" si="112"/>
        <v>4.2529900671929779</v>
      </c>
      <c r="AE94" s="14">
        <f t="shared" si="113"/>
        <v>2.2609286018543102</v>
      </c>
      <c r="AF94" s="14">
        <f t="shared" si="91"/>
        <v>5.5377233347596633</v>
      </c>
      <c r="AG94" s="14">
        <f t="shared" si="114"/>
        <v>3.8655664121129973E-2</v>
      </c>
      <c r="AH94" s="14">
        <f t="shared" si="92"/>
        <v>0.17630781090971595</v>
      </c>
      <c r="AI94" s="14">
        <f t="shared" si="93"/>
        <v>1.7075487222144357</v>
      </c>
      <c r="AJ94" s="14">
        <f t="shared" si="94"/>
        <v>-0.2188035736935208</v>
      </c>
      <c r="AK94" s="14">
        <f t="shared" si="115"/>
        <v>0.87207826060792537</v>
      </c>
      <c r="AL94" s="14">
        <f t="shared" si="116"/>
        <v>1.0117782725162261</v>
      </c>
      <c r="AM94" s="14">
        <f t="shared" si="117"/>
        <v>0.79274680171549661</v>
      </c>
      <c r="AN94" s="1">
        <f t="shared" si="95"/>
        <v>-0.45534204315283755</v>
      </c>
      <c r="AO94" s="1">
        <f t="shared" si="96"/>
        <v>-0.29087662474533843</v>
      </c>
      <c r="AP94" s="1">
        <f t="shared" si="97"/>
        <v>11.20048895932846</v>
      </c>
      <c r="AQ94" s="1">
        <f t="shared" si="98"/>
        <v>17.629287213478332</v>
      </c>
      <c r="AR94" s="1">
        <f t="shared" si="118"/>
        <v>0</v>
      </c>
      <c r="AS94" s="1">
        <f t="shared" si="99"/>
        <v>11.20048895932846</v>
      </c>
      <c r="AT94" s="1">
        <f t="shared" si="100"/>
        <v>6.4666053157237178</v>
      </c>
    </row>
    <row r="95" spans="1:46" x14ac:dyDescent="0.25">
      <c r="A95" s="14">
        <f t="shared" si="119"/>
        <v>2.4783675378319505</v>
      </c>
      <c r="B95" s="14">
        <f t="shared" si="75"/>
        <v>-3.9400537680336174</v>
      </c>
      <c r="C95" s="14">
        <f t="shared" si="76"/>
        <v>3.0783073766282816</v>
      </c>
      <c r="D95" s="14">
        <f t="shared" si="101"/>
        <v>0.8838153406626863</v>
      </c>
      <c r="E95" s="14">
        <f t="shared" si="77"/>
        <v>2.3997727030536198</v>
      </c>
      <c r="F95" s="14">
        <f t="shared" si="78"/>
        <v>5.5460714948800724</v>
      </c>
      <c r="G95" s="14">
        <f t="shared" si="102"/>
        <v>3.5173511668459496</v>
      </c>
      <c r="H95" s="14">
        <f t="shared" si="103"/>
        <v>4.2880239965989837</v>
      </c>
      <c r="I95" s="14">
        <f t="shared" si="104"/>
        <v>0.88696662958989836</v>
      </c>
      <c r="J95" s="14">
        <f t="shared" si="79"/>
        <v>5.5545001057052925</v>
      </c>
      <c r="K95" s="14">
        <f t="shared" si="105"/>
        <v>3.8890239775701385E-2</v>
      </c>
      <c r="L95" s="14">
        <f t="shared" si="80"/>
        <v>0.18001073791224353</v>
      </c>
      <c r="M95" s="14">
        <f t="shared" si="81"/>
        <v>1.6911260315615082</v>
      </c>
      <c r="N95" s="14">
        <f t="shared" si="82"/>
        <v>0.22310310889733986</v>
      </c>
      <c r="O95" s="14">
        <f t="shared" si="106"/>
        <v>0.86948087858106227</v>
      </c>
      <c r="P95" s="14">
        <f t="shared" si="107"/>
        <v>1.0016558908926894</v>
      </c>
      <c r="Q95" s="14">
        <f t="shared" si="108"/>
        <v>-0.7850317168146389</v>
      </c>
      <c r="R95" s="1">
        <f t="shared" si="83"/>
        <v>0.45624855136596493</v>
      </c>
      <c r="S95" s="1">
        <f t="shared" si="84"/>
        <v>-0.28816228654845738</v>
      </c>
      <c r="T95" s="1">
        <f t="shared" si="85"/>
        <v>11.345020701575548</v>
      </c>
      <c r="U95" s="1">
        <f t="shared" si="86"/>
        <v>17.655495820923484</v>
      </c>
      <c r="V95" s="1">
        <f t="shared" si="109"/>
        <v>0</v>
      </c>
      <c r="W95" s="1">
        <f t="shared" si="87"/>
        <v>11.345020701575548</v>
      </c>
      <c r="X95" s="1">
        <f t="shared" si="88"/>
        <v>6.5500507560165193</v>
      </c>
      <c r="Z95" s="14">
        <f t="shared" si="110"/>
        <v>2.2577773129270984</v>
      </c>
      <c r="AA95" s="14">
        <f t="shared" si="89"/>
        <v>2.3997727030536722</v>
      </c>
      <c r="AB95" s="14">
        <f t="shared" si="90"/>
        <v>5.5460714948800947</v>
      </c>
      <c r="AC95" s="14">
        <f t="shared" si="111"/>
        <v>-3.517351166845927</v>
      </c>
      <c r="AD95" s="14">
        <f t="shared" si="112"/>
        <v>4.2880239965990308</v>
      </c>
      <c r="AE95" s="14">
        <f t="shared" si="113"/>
        <v>2.2546260239998865</v>
      </c>
      <c r="AF95" s="14">
        <f t="shared" si="91"/>
        <v>5.5545001057053147</v>
      </c>
      <c r="AG95" s="14">
        <f t="shared" si="114"/>
        <v>3.8890239775701385E-2</v>
      </c>
      <c r="AH95" s="14">
        <f t="shared" si="92"/>
        <v>0.18001073791224823</v>
      </c>
      <c r="AI95" s="14">
        <f t="shared" si="93"/>
        <v>1.6911260315614869</v>
      </c>
      <c r="AJ95" s="14">
        <f t="shared" si="94"/>
        <v>-0.22310310889734528</v>
      </c>
      <c r="AK95" s="14">
        <f t="shared" si="115"/>
        <v>0.86948087858105927</v>
      </c>
      <c r="AL95" s="14">
        <f t="shared" si="116"/>
        <v>1.0016558908926758</v>
      </c>
      <c r="AM95" s="14">
        <f t="shared" si="117"/>
        <v>0.78459960626470615</v>
      </c>
      <c r="AN95" s="1">
        <f t="shared" si="95"/>
        <v>-0.45643116917545462</v>
      </c>
      <c r="AO95" s="1">
        <f t="shared" si="96"/>
        <v>-0.28777066139219826</v>
      </c>
      <c r="AP95" s="1">
        <f t="shared" si="97"/>
        <v>11.357893988735485</v>
      </c>
      <c r="AQ95" s="1">
        <f t="shared" si="98"/>
        <v>17.644693850415539</v>
      </c>
      <c r="AR95" s="1">
        <f t="shared" si="118"/>
        <v>0</v>
      </c>
      <c r="AS95" s="1">
        <f t="shared" si="99"/>
        <v>11.357893988735485</v>
      </c>
      <c r="AT95" s="1">
        <f t="shared" si="100"/>
        <v>6.5574831518236643</v>
      </c>
    </row>
    <row r="96" spans="1:46" x14ac:dyDescent="0.25">
      <c r="A96" s="14">
        <f t="shared" si="119"/>
        <v>2.5132741228718372</v>
      </c>
      <c r="B96" s="14">
        <f t="shared" si="75"/>
        <v>-4.0450849718747444</v>
      </c>
      <c r="C96" s="14">
        <f t="shared" si="76"/>
        <v>2.9389262614623552</v>
      </c>
      <c r="D96" s="14">
        <f t="shared" si="101"/>
        <v>0.89011791851711031</v>
      </c>
      <c r="E96" s="14">
        <f t="shared" si="77"/>
        <v>2.4386629428293212</v>
      </c>
      <c r="F96" s="14">
        <f t="shared" si="78"/>
        <v>5.5630097023759513</v>
      </c>
      <c r="G96" s="14">
        <f t="shared" si="102"/>
        <v>3.5009154413132637</v>
      </c>
      <c r="H96" s="14">
        <f t="shared" si="103"/>
        <v>4.323270523747424</v>
      </c>
      <c r="I96" s="14">
        <f t="shared" si="104"/>
        <v>0.89326920744432226</v>
      </c>
      <c r="J96" s="14">
        <f t="shared" si="79"/>
        <v>5.5716008270827739</v>
      </c>
      <c r="K96" s="14">
        <f t="shared" si="105"/>
        <v>3.9130075262905351E-2</v>
      </c>
      <c r="L96" s="14">
        <f t="shared" si="80"/>
        <v>0.18373902467593803</v>
      </c>
      <c r="M96" s="14">
        <f t="shared" si="81"/>
        <v>1.674899096803856</v>
      </c>
      <c r="N96" s="14">
        <f t="shared" si="82"/>
        <v>0.22734016033970159</v>
      </c>
      <c r="O96" s="14">
        <f t="shared" si="106"/>
        <v>0.86685723173354967</v>
      </c>
      <c r="P96" s="14">
        <f t="shared" si="107"/>
        <v>0.99178088974624445</v>
      </c>
      <c r="Q96" s="14">
        <f t="shared" si="108"/>
        <v>-0.77696309989445278</v>
      </c>
      <c r="R96" s="1">
        <f t="shared" si="83"/>
        <v>0.45728066465509076</v>
      </c>
      <c r="S96" s="1">
        <f t="shared" si="84"/>
        <v>-0.28502299202227499</v>
      </c>
      <c r="T96" s="1">
        <f t="shared" si="85"/>
        <v>11.50350279557636</v>
      </c>
      <c r="U96" s="1">
        <f t="shared" si="86"/>
        <v>17.670113524290219</v>
      </c>
      <c r="V96" s="1">
        <f t="shared" si="109"/>
        <v>0</v>
      </c>
      <c r="W96" s="1">
        <f t="shared" si="87"/>
        <v>11.50350279557636</v>
      </c>
      <c r="X96" s="1">
        <f t="shared" si="88"/>
        <v>6.6415504356496236</v>
      </c>
      <c r="Z96" s="14">
        <f t="shared" si="110"/>
        <v>2.2514747350726743</v>
      </c>
      <c r="AA96" s="14">
        <f t="shared" si="89"/>
        <v>2.4386629428293736</v>
      </c>
      <c r="AB96" s="14">
        <f t="shared" si="90"/>
        <v>5.5630097023759744</v>
      </c>
      <c r="AC96" s="14">
        <f t="shared" si="111"/>
        <v>-3.5009154413132406</v>
      </c>
      <c r="AD96" s="14">
        <f t="shared" si="112"/>
        <v>4.323270523747472</v>
      </c>
      <c r="AE96" s="14">
        <f t="shared" si="113"/>
        <v>2.248323446145462</v>
      </c>
      <c r="AF96" s="14">
        <f t="shared" si="91"/>
        <v>5.5716008270827979</v>
      </c>
      <c r="AG96" s="14">
        <f t="shared" si="114"/>
        <v>3.9130075262906683E-2</v>
      </c>
      <c r="AH96" s="14">
        <f t="shared" si="92"/>
        <v>0.18373902467594322</v>
      </c>
      <c r="AI96" s="14">
        <f t="shared" si="93"/>
        <v>1.6748990968038329</v>
      </c>
      <c r="AJ96" s="14">
        <f t="shared" si="94"/>
        <v>-0.22734016033970764</v>
      </c>
      <c r="AK96" s="14">
        <f t="shared" si="115"/>
        <v>0.86685723173354567</v>
      </c>
      <c r="AL96" s="14">
        <f t="shared" si="116"/>
        <v>0.99178088974623058</v>
      </c>
      <c r="AM96" s="14">
        <f t="shared" si="117"/>
        <v>0.77655400055798252</v>
      </c>
      <c r="AN96" s="1">
        <f t="shared" si="95"/>
        <v>-0.45745355750554551</v>
      </c>
      <c r="AO96" s="1">
        <f t="shared" si="96"/>
        <v>-0.2846522221079662</v>
      </c>
      <c r="AP96" s="1">
        <f t="shared" si="97"/>
        <v>11.515765702300659</v>
      </c>
      <c r="AQ96" s="1">
        <f t="shared" si="98"/>
        <v>17.659823723781585</v>
      </c>
      <c r="AR96" s="1">
        <f t="shared" si="118"/>
        <v>0</v>
      </c>
      <c r="AS96" s="1">
        <f t="shared" si="99"/>
        <v>11.515765702300659</v>
      </c>
      <c r="AT96" s="1">
        <f t="shared" si="100"/>
        <v>6.6486304281479445</v>
      </c>
    </row>
    <row r="97" spans="1:46" x14ac:dyDescent="0.25">
      <c r="A97" s="14">
        <f t="shared" si="119"/>
        <v>2.5481807079117238</v>
      </c>
      <c r="B97" s="14">
        <f t="shared" si="75"/>
        <v>-4.1451878627752157</v>
      </c>
      <c r="C97" s="14">
        <f t="shared" si="76"/>
        <v>2.7959645173537235</v>
      </c>
      <c r="D97" s="14">
        <f t="shared" si="101"/>
        <v>0.89642049637153431</v>
      </c>
      <c r="E97" s="14">
        <f t="shared" si="77"/>
        <v>2.4777930180922265</v>
      </c>
      <c r="F97" s="14">
        <f t="shared" si="78"/>
        <v>5.5802740291590149</v>
      </c>
      <c r="G97" s="14">
        <f t="shared" si="102"/>
        <v>3.4843783569238722</v>
      </c>
      <c r="H97" s="14">
        <f t="shared" si="103"/>
        <v>4.3587344156655252</v>
      </c>
      <c r="I97" s="14">
        <f t="shared" si="104"/>
        <v>0.89957178529874637</v>
      </c>
      <c r="J97" s="14">
        <f t="shared" si="79"/>
        <v>5.5890298651745587</v>
      </c>
      <c r="K97" s="14">
        <f t="shared" si="105"/>
        <v>3.9375274006341332E-2</v>
      </c>
      <c r="L97" s="14">
        <f t="shared" si="80"/>
        <v>0.18749392227956618</v>
      </c>
      <c r="M97" s="14">
        <f t="shared" si="81"/>
        <v>1.6588704963415279</v>
      </c>
      <c r="N97" s="14">
        <f t="shared" si="82"/>
        <v>0.23151027515513595</v>
      </c>
      <c r="O97" s="14">
        <f t="shared" si="106"/>
        <v>0.86421778239848868</v>
      </c>
      <c r="P97" s="14">
        <f t="shared" si="107"/>
        <v>0.98214663622260567</v>
      </c>
      <c r="Q97" s="14">
        <f t="shared" si="108"/>
        <v>-0.76899769800430362</v>
      </c>
      <c r="R97" s="1">
        <f t="shared" si="83"/>
        <v>0.45825483547011725</v>
      </c>
      <c r="S97" s="1">
        <f t="shared" si="84"/>
        <v>-0.28187549773968573</v>
      </c>
      <c r="T97" s="1">
        <f t="shared" si="85"/>
        <v>11.662727506561332</v>
      </c>
      <c r="U97" s="1">
        <f t="shared" si="86"/>
        <v>17.684727875458734</v>
      </c>
      <c r="V97" s="1">
        <f t="shared" si="109"/>
        <v>0</v>
      </c>
      <c r="W97" s="1">
        <f t="shared" si="87"/>
        <v>11.662727506561332</v>
      </c>
      <c r="X97" s="1">
        <f t="shared" si="88"/>
        <v>6.7334788653984372</v>
      </c>
      <c r="Z97" s="14">
        <f t="shared" si="110"/>
        <v>2.2451721572182501</v>
      </c>
      <c r="AA97" s="14">
        <f t="shared" si="89"/>
        <v>2.4777930180922803</v>
      </c>
      <c r="AB97" s="14">
        <f t="shared" si="90"/>
        <v>5.5802740291590389</v>
      </c>
      <c r="AC97" s="14">
        <f t="shared" si="111"/>
        <v>-3.4843783569238487</v>
      </c>
      <c r="AD97" s="14">
        <f t="shared" si="112"/>
        <v>4.358734415665575</v>
      </c>
      <c r="AE97" s="14">
        <f t="shared" si="113"/>
        <v>2.2420208682910383</v>
      </c>
      <c r="AF97" s="14">
        <f t="shared" si="91"/>
        <v>5.5890298651745827</v>
      </c>
      <c r="AG97" s="14">
        <f t="shared" si="114"/>
        <v>3.937527400634222E-2</v>
      </c>
      <c r="AH97" s="14">
        <f t="shared" si="92"/>
        <v>0.18749392227957121</v>
      </c>
      <c r="AI97" s="14">
        <f t="shared" si="93"/>
        <v>1.6588704963415062</v>
      </c>
      <c r="AJ97" s="14">
        <f t="shared" si="94"/>
        <v>-0.23151027515514166</v>
      </c>
      <c r="AK97" s="14">
        <f t="shared" si="115"/>
        <v>0.86421778239848468</v>
      </c>
      <c r="AL97" s="14">
        <f t="shared" si="116"/>
        <v>0.98214663622259279</v>
      </c>
      <c r="AM97" s="14">
        <f t="shared" si="117"/>
        <v>0.76861079937315557</v>
      </c>
      <c r="AN97" s="1">
        <f t="shared" si="95"/>
        <v>-0.45841834589707919</v>
      </c>
      <c r="AO97" s="1">
        <f t="shared" si="96"/>
        <v>-0.28152484849748782</v>
      </c>
      <c r="AP97" s="1">
        <f t="shared" si="97"/>
        <v>11.674397611162922</v>
      </c>
      <c r="AQ97" s="1">
        <f t="shared" si="98"/>
        <v>17.674935494992308</v>
      </c>
      <c r="AR97" s="1">
        <f t="shared" si="118"/>
        <v>0</v>
      </c>
      <c r="AS97" s="1">
        <f t="shared" si="99"/>
        <v>11.674397611162922</v>
      </c>
      <c r="AT97" s="1">
        <f t="shared" si="100"/>
        <v>6.7402166034316364</v>
      </c>
    </row>
    <row r="98" spans="1:46" x14ac:dyDescent="0.25">
      <c r="A98" s="14">
        <f t="shared" si="119"/>
        <v>2.5830872929516104</v>
      </c>
      <c r="B98" s="14">
        <f t="shared" si="75"/>
        <v>-4.2402404807821368</v>
      </c>
      <c r="C98" s="14">
        <f t="shared" si="76"/>
        <v>2.6495963211660136</v>
      </c>
      <c r="D98" s="14">
        <f t="shared" si="101"/>
        <v>0.90272307422595832</v>
      </c>
      <c r="E98" s="14">
        <f t="shared" si="77"/>
        <v>2.5171682920985678</v>
      </c>
      <c r="F98" s="14">
        <f t="shared" si="78"/>
        <v>5.5978688990317034</v>
      </c>
      <c r="G98" s="14">
        <f t="shared" si="102"/>
        <v>3.4677376470677475</v>
      </c>
      <c r="H98" s="14">
        <f t="shared" si="103"/>
        <v>4.3944205331141735</v>
      </c>
      <c r="I98" s="14">
        <f t="shared" si="104"/>
        <v>0.90587436315317027</v>
      </c>
      <c r="J98" s="14">
        <f t="shared" si="79"/>
        <v>5.6067917020626643</v>
      </c>
      <c r="K98" s="14">
        <f t="shared" si="105"/>
        <v>3.9625942642061762E-2</v>
      </c>
      <c r="L98" s="14">
        <f t="shared" si="80"/>
        <v>0.1912767597867992</v>
      </c>
      <c r="M98" s="14">
        <f t="shared" si="81"/>
        <v>1.6430425989796349</v>
      </c>
      <c r="N98" s="14">
        <f t="shared" si="82"/>
        <v>0.23560905409192809</v>
      </c>
      <c r="O98" s="14">
        <f t="shared" si="106"/>
        <v>0.86157281445656431</v>
      </c>
      <c r="P98" s="14">
        <f t="shared" si="107"/>
        <v>0.97274654430986995</v>
      </c>
      <c r="Q98" s="14">
        <f t="shared" si="108"/>
        <v>-0.7611358221628638</v>
      </c>
      <c r="R98" s="1">
        <f t="shared" si="83"/>
        <v>0.45918025273001939</v>
      </c>
      <c r="S98" s="1">
        <f t="shared" si="84"/>
        <v>-0.27872286894823672</v>
      </c>
      <c r="T98" s="1">
        <f t="shared" si="85"/>
        <v>11.823004850343327</v>
      </c>
      <c r="U98" s="1">
        <f t="shared" si="86"/>
        <v>17.699587718238362</v>
      </c>
      <c r="V98" s="1">
        <f t="shared" si="109"/>
        <v>0</v>
      </c>
      <c r="W98" s="1">
        <f t="shared" si="87"/>
        <v>11.823004850343327</v>
      </c>
      <c r="X98" s="1">
        <f t="shared" si="88"/>
        <v>6.8260150329759703</v>
      </c>
      <c r="Z98" s="14">
        <f t="shared" si="110"/>
        <v>2.238869579363826</v>
      </c>
      <c r="AA98" s="14">
        <f t="shared" si="89"/>
        <v>2.5171682920986225</v>
      </c>
      <c r="AB98" s="14">
        <f t="shared" si="90"/>
        <v>5.5978688990317282</v>
      </c>
      <c r="AC98" s="14">
        <f t="shared" si="111"/>
        <v>-3.4677376470677239</v>
      </c>
      <c r="AD98" s="14">
        <f t="shared" si="112"/>
        <v>4.3944205331142241</v>
      </c>
      <c r="AE98" s="14">
        <f t="shared" si="113"/>
        <v>2.2357182904366137</v>
      </c>
      <c r="AF98" s="14">
        <f t="shared" si="91"/>
        <v>5.6067917020626901</v>
      </c>
      <c r="AG98" s="14">
        <f t="shared" si="114"/>
        <v>3.9625942642063094E-2</v>
      </c>
      <c r="AH98" s="14">
        <f t="shared" si="92"/>
        <v>0.19127675978680461</v>
      </c>
      <c r="AI98" s="14">
        <f t="shared" si="93"/>
        <v>1.643042598979612</v>
      </c>
      <c r="AJ98" s="14">
        <f t="shared" si="94"/>
        <v>-0.23560905409193394</v>
      </c>
      <c r="AK98" s="14">
        <f t="shared" si="115"/>
        <v>0.86157281445656064</v>
      </c>
      <c r="AL98" s="14">
        <f t="shared" si="116"/>
        <v>0.97274654430985596</v>
      </c>
      <c r="AM98" s="14">
        <f t="shared" si="117"/>
        <v>0.76077036688427169</v>
      </c>
      <c r="AN98" s="1">
        <f t="shared" si="95"/>
        <v>-0.45933470080459859</v>
      </c>
      <c r="AO98" s="1">
        <f t="shared" si="96"/>
        <v>-0.2783916539834409</v>
      </c>
      <c r="AP98" s="1">
        <f t="shared" si="97"/>
        <v>11.834098330536296</v>
      </c>
      <c r="AQ98" s="1">
        <f t="shared" si="98"/>
        <v>17.690279183100873</v>
      </c>
      <c r="AR98" s="1">
        <f t="shared" si="118"/>
        <v>0</v>
      </c>
      <c r="AS98" s="1">
        <f t="shared" si="99"/>
        <v>11.834098330536296</v>
      </c>
      <c r="AT98" s="1">
        <f t="shared" si="100"/>
        <v>6.8324198567516312</v>
      </c>
    </row>
    <row r="99" spans="1:46" x14ac:dyDescent="0.25">
      <c r="A99" s="14">
        <f t="shared" si="119"/>
        <v>2.6179938779914971</v>
      </c>
      <c r="B99" s="14">
        <f t="shared" si="75"/>
        <v>-4.3301270189221999</v>
      </c>
      <c r="C99" s="14">
        <f t="shared" si="76"/>
        <v>2.4999999999999885</v>
      </c>
      <c r="D99" s="14">
        <f t="shared" si="101"/>
        <v>0.90902565208038233</v>
      </c>
      <c r="E99" s="14">
        <f t="shared" si="77"/>
        <v>2.5567942347406296</v>
      </c>
      <c r="F99" s="14">
        <f t="shared" si="78"/>
        <v>5.6157988531288163</v>
      </c>
      <c r="G99" s="14">
        <f t="shared" si="102"/>
        <v>3.4509910000685231</v>
      </c>
      <c r="H99" s="14">
        <f t="shared" si="103"/>
        <v>4.4303338334993425</v>
      </c>
      <c r="I99" s="14">
        <f t="shared" si="104"/>
        <v>0.91217694100759439</v>
      </c>
      <c r="J99" s="14">
        <f t="shared" si="79"/>
        <v>5.6248909387217321</v>
      </c>
      <c r="K99" s="14">
        <f t="shared" si="105"/>
        <v>3.9882191125244049E-2</v>
      </c>
      <c r="L99" s="14">
        <f t="shared" si="80"/>
        <v>0.19508894162869705</v>
      </c>
      <c r="M99" s="14">
        <f t="shared" si="81"/>
        <v>1.627417564847605</v>
      </c>
      <c r="N99" s="14">
        <f t="shared" si="82"/>
        <v>0.23963215679433758</v>
      </c>
      <c r="O99" s="14">
        <f t="shared" si="106"/>
        <v>0.85893241080327409</v>
      </c>
      <c r="P99" s="14">
        <f t="shared" si="107"/>
        <v>0.96357409567302788</v>
      </c>
      <c r="Q99" s="14">
        <f t="shared" si="108"/>
        <v>-0.75337734319519711</v>
      </c>
      <c r="R99" s="1">
        <f t="shared" si="83"/>
        <v>0.46006610923318947</v>
      </c>
      <c r="S99" s="1">
        <f t="shared" si="84"/>
        <v>-0.27556774334308842</v>
      </c>
      <c r="T99" s="1">
        <f t="shared" si="85"/>
        <v>11.984659718752132</v>
      </c>
      <c r="U99" s="1">
        <f t="shared" si="86"/>
        <v>17.714932714359218</v>
      </c>
      <c r="V99" s="1">
        <f t="shared" si="109"/>
        <v>0</v>
      </c>
      <c r="W99" s="1">
        <f t="shared" si="87"/>
        <v>11.984659718752132</v>
      </c>
      <c r="X99" s="1">
        <f t="shared" si="88"/>
        <v>6.9193465147676081</v>
      </c>
      <c r="Z99" s="14">
        <f t="shared" si="110"/>
        <v>2.2325670015094019</v>
      </c>
      <c r="AA99" s="14">
        <f t="shared" si="89"/>
        <v>2.5567942347406856</v>
      </c>
      <c r="AB99" s="14">
        <f t="shared" si="90"/>
        <v>5.6157988531288412</v>
      </c>
      <c r="AC99" s="14">
        <f t="shared" si="111"/>
        <v>-3.4509910000684987</v>
      </c>
      <c r="AD99" s="14">
        <f t="shared" si="112"/>
        <v>4.4303338334993931</v>
      </c>
      <c r="AE99" s="14">
        <f t="shared" si="113"/>
        <v>2.2294157125821901</v>
      </c>
      <c r="AF99" s="14">
        <f t="shared" si="91"/>
        <v>5.6248909387217569</v>
      </c>
      <c r="AG99" s="14">
        <f t="shared" si="114"/>
        <v>3.9882191125245381E-2</v>
      </c>
      <c r="AH99" s="14">
        <f t="shared" si="92"/>
        <v>0.19508894162870236</v>
      </c>
      <c r="AI99" s="14">
        <f t="shared" si="93"/>
        <v>1.6274175648475835</v>
      </c>
      <c r="AJ99" s="14">
        <f t="shared" si="94"/>
        <v>-0.2396321567943431</v>
      </c>
      <c r="AK99" s="14">
        <f t="shared" si="115"/>
        <v>0.85893241080327054</v>
      </c>
      <c r="AL99" s="14">
        <f t="shared" si="116"/>
        <v>0.96357409567301522</v>
      </c>
      <c r="AM99" s="14">
        <f t="shared" si="117"/>
        <v>0.75303262623388978</v>
      </c>
      <c r="AN99" s="1">
        <f t="shared" si="95"/>
        <v>-0.46021179291616643</v>
      </c>
      <c r="AO99" s="1">
        <f t="shared" si="96"/>
        <v>-0.27525532367673716</v>
      </c>
      <c r="AP99" s="1">
        <f t="shared" si="97"/>
        <v>11.995191349644324</v>
      </c>
      <c r="AQ99" s="1">
        <f t="shared" si="98"/>
        <v>17.706095626762771</v>
      </c>
      <c r="AR99" s="1">
        <f t="shared" si="118"/>
        <v>0</v>
      </c>
      <c r="AS99" s="1">
        <f t="shared" si="99"/>
        <v>11.995191349644324</v>
      </c>
      <c r="AT99" s="1">
        <f t="shared" si="100"/>
        <v>6.9254269546982208</v>
      </c>
    </row>
    <row r="100" spans="1:46" x14ac:dyDescent="0.25">
      <c r="A100" s="14">
        <f t="shared" si="119"/>
        <v>2.6529004630313837</v>
      </c>
      <c r="B100" s="14">
        <f t="shared" si="75"/>
        <v>-4.4147379642946412</v>
      </c>
      <c r="C100" s="14">
        <f t="shared" si="76"/>
        <v>2.3473578139294418</v>
      </c>
      <c r="D100" s="14">
        <f t="shared" si="101"/>
        <v>0.91532822993480634</v>
      </c>
      <c r="E100" s="14">
        <f t="shared" si="77"/>
        <v>2.5966764258658737</v>
      </c>
      <c r="F100" s="14">
        <f t="shared" si="78"/>
        <v>5.6340685530660322</v>
      </c>
      <c r="G100" s="14">
        <f t="shared" si="102"/>
        <v>3.4341360577807625</v>
      </c>
      <c r="H100" s="14">
        <f t="shared" si="103"/>
        <v>4.4664793738802349</v>
      </c>
      <c r="I100" s="14">
        <f t="shared" si="104"/>
        <v>0.91847951886201828</v>
      </c>
      <c r="J100" s="14">
        <f t="shared" si="79"/>
        <v>5.6433322982240881</v>
      </c>
      <c r="K100" s="14">
        <f t="shared" si="105"/>
        <v>4.0144132841285707E-2</v>
      </c>
      <c r="L100" s="14">
        <f t="shared" si="80"/>
        <v>0.19893194484085203</v>
      </c>
      <c r="M100" s="14">
        <f t="shared" si="81"/>
        <v>1.6119973465465873</v>
      </c>
      <c r="N100" s="14">
        <f t="shared" si="82"/>
        <v>0.24357530699895233</v>
      </c>
      <c r="O100" s="14">
        <f t="shared" si="106"/>
        <v>0.85630643146302521</v>
      </c>
      <c r="P100" s="14">
        <f t="shared" si="107"/>
        <v>0.95462285992441409</v>
      </c>
      <c r="Q100" s="14">
        <f t="shared" si="108"/>
        <v>-0.74572170246529024</v>
      </c>
      <c r="R100" s="1">
        <f t="shared" si="83"/>
        <v>0.46092157728630911</v>
      </c>
      <c r="S100" s="1">
        <f t="shared" si="84"/>
        <v>-0.27241233222732925</v>
      </c>
      <c r="T100" s="1">
        <f t="shared" si="85"/>
        <v>12.148031630486651</v>
      </c>
      <c r="U100" s="1">
        <f t="shared" si="86"/>
        <v>17.730992819038665</v>
      </c>
      <c r="V100" s="1">
        <f t="shared" si="109"/>
        <v>0</v>
      </c>
      <c r="W100" s="1">
        <f t="shared" si="87"/>
        <v>12.148031630486651</v>
      </c>
      <c r="X100" s="1">
        <f t="shared" si="88"/>
        <v>7.0136693319855556</v>
      </c>
      <c r="Z100" s="14">
        <f t="shared" si="110"/>
        <v>2.2262644236549778</v>
      </c>
      <c r="AA100" s="14">
        <f t="shared" si="89"/>
        <v>2.5966764258659309</v>
      </c>
      <c r="AB100" s="14">
        <f t="shared" si="90"/>
        <v>5.6340685530660579</v>
      </c>
      <c r="AC100" s="14">
        <f t="shared" si="111"/>
        <v>-3.4341360577807376</v>
      </c>
      <c r="AD100" s="14">
        <f t="shared" si="112"/>
        <v>4.4664793738802864</v>
      </c>
      <c r="AE100" s="14">
        <f t="shared" si="113"/>
        <v>2.2231131347277655</v>
      </c>
      <c r="AF100" s="14">
        <f t="shared" si="91"/>
        <v>5.6433322982241156</v>
      </c>
      <c r="AG100" s="14">
        <f t="shared" si="114"/>
        <v>4.0144132841286595E-2</v>
      </c>
      <c r="AH100" s="14">
        <f t="shared" si="92"/>
        <v>0.19893194484085772</v>
      </c>
      <c r="AI100" s="14">
        <f t="shared" si="93"/>
        <v>1.6119973465465642</v>
      </c>
      <c r="AJ100" s="14">
        <f t="shared" si="94"/>
        <v>-0.24357530699895799</v>
      </c>
      <c r="AK100" s="14">
        <f t="shared" si="115"/>
        <v>0.85630643146302132</v>
      </c>
      <c r="AL100" s="14">
        <f t="shared" si="116"/>
        <v>0.95462285992440066</v>
      </c>
      <c r="AM100" s="14">
        <f t="shared" si="117"/>
        <v>0.74539707013254453</v>
      </c>
      <c r="AN100" s="1">
        <f t="shared" si="95"/>
        <v>-0.46105877283847529</v>
      </c>
      <c r="AO100" s="1">
        <f t="shared" si="96"/>
        <v>-0.27211811541624353</v>
      </c>
      <c r="AP100" s="1">
        <f t="shared" si="97"/>
        <v>12.158014785626715</v>
      </c>
      <c r="AQ100" s="1">
        <f t="shared" si="98"/>
        <v>17.722615957243224</v>
      </c>
      <c r="AR100" s="1">
        <f t="shared" si="118"/>
        <v>0</v>
      </c>
      <c r="AS100" s="1">
        <f t="shared" si="99"/>
        <v>12.158014785626715</v>
      </c>
      <c r="AT100" s="1">
        <f t="shared" si="100"/>
        <v>7.0194331092930335</v>
      </c>
    </row>
    <row r="101" spans="1:46" x14ac:dyDescent="0.25">
      <c r="A101" s="14">
        <f t="shared" si="119"/>
        <v>2.6878070480712704</v>
      </c>
      <c r="B101" s="14">
        <f t="shared" si="75"/>
        <v>-4.4939702314958412</v>
      </c>
      <c r="C101" s="14">
        <f t="shared" si="76"/>
        <v>2.1918557339453746</v>
      </c>
      <c r="D101" s="14">
        <f t="shared" si="101"/>
        <v>0.92163080778923034</v>
      </c>
      <c r="E101" s="14">
        <f t="shared" si="77"/>
        <v>2.6368205587071594</v>
      </c>
      <c r="F101" s="14">
        <f t="shared" si="78"/>
        <v>5.652682784202625</v>
      </c>
      <c r="G101" s="14">
        <f t="shared" si="102"/>
        <v>3.4171704141402905</v>
      </c>
      <c r="H101" s="14">
        <f t="shared" si="103"/>
        <v>4.5028623140781265</v>
      </c>
      <c r="I101" s="14">
        <f t="shared" si="104"/>
        <v>0.9247820967164424</v>
      </c>
      <c r="J101" s="14">
        <f t="shared" si="79"/>
        <v>5.6621206290612447</v>
      </c>
      <c r="K101" s="14">
        <f t="shared" si="105"/>
        <v>4.0411884721552216E-2</v>
      </c>
      <c r="L101" s="14">
        <f t="shared" si="80"/>
        <v>0.20280731615905237</v>
      </c>
      <c r="M101" s="14">
        <f t="shared" si="81"/>
        <v>1.5967836905220629</v>
      </c>
      <c r="N101" s="14">
        <f t="shared" si="82"/>
        <v>0.24743429763838995</v>
      </c>
      <c r="O101" s="14">
        <f t="shared" si="106"/>
        <v>0.85370449239875779</v>
      </c>
      <c r="P101" s="14">
        <f t="shared" si="107"/>
        <v>0.94588651428235737</v>
      </c>
      <c r="Q101" s="14">
        <f t="shared" si="108"/>
        <v>-0.7381679235978269</v>
      </c>
      <c r="R101" s="1">
        <f t="shared" si="83"/>
        <v>0.46175578454550964</v>
      </c>
      <c r="S101" s="1">
        <f t="shared" si="84"/>
        <v>-0.26925842282740625</v>
      </c>
      <c r="T101" s="1">
        <f t="shared" si="85"/>
        <v>12.313474466562447</v>
      </c>
      <c r="U101" s="1">
        <f t="shared" si="86"/>
        <v>17.747987768315124</v>
      </c>
      <c r="V101" s="1">
        <f t="shared" si="109"/>
        <v>0</v>
      </c>
      <c r="W101" s="1">
        <f t="shared" si="87"/>
        <v>12.313474466562447</v>
      </c>
      <c r="X101" s="1">
        <f t="shared" si="88"/>
        <v>7.1091877979294118</v>
      </c>
      <c r="Z101" s="14">
        <f t="shared" si="110"/>
        <v>2.2199618458005537</v>
      </c>
      <c r="AA101" s="14">
        <f t="shared" si="89"/>
        <v>2.6368205587072175</v>
      </c>
      <c r="AB101" s="14">
        <f t="shared" si="90"/>
        <v>5.6526827842026526</v>
      </c>
      <c r="AC101" s="14">
        <f t="shared" si="111"/>
        <v>-3.4171704141402657</v>
      </c>
      <c r="AD101" s="14">
        <f t="shared" si="112"/>
        <v>4.5028623140781798</v>
      </c>
      <c r="AE101" s="14">
        <f t="shared" si="113"/>
        <v>2.2168105568733418</v>
      </c>
      <c r="AF101" s="14">
        <f t="shared" si="91"/>
        <v>5.6621206290612713</v>
      </c>
      <c r="AG101" s="14">
        <f t="shared" si="114"/>
        <v>4.0411884721553548E-2</v>
      </c>
      <c r="AH101" s="14">
        <f t="shared" si="92"/>
        <v>0.20280731615905767</v>
      </c>
      <c r="AI101" s="14">
        <f t="shared" si="93"/>
        <v>1.5967836905220418</v>
      </c>
      <c r="AJ101" s="14">
        <f t="shared" si="94"/>
        <v>-0.24743429763839533</v>
      </c>
      <c r="AK101" s="14">
        <f t="shared" si="115"/>
        <v>0.85370449239875446</v>
      </c>
      <c r="AL101" s="14">
        <f t="shared" si="116"/>
        <v>0.94588651428234516</v>
      </c>
      <c r="AM101" s="14">
        <f t="shared" si="117"/>
        <v>0.73786277245157228</v>
      </c>
      <c r="AN101" s="1">
        <f t="shared" si="95"/>
        <v>-0.46188474699250492</v>
      </c>
      <c r="AO101" s="1">
        <f t="shared" si="96"/>
        <v>-0.2689818619673377</v>
      </c>
      <c r="AP101" s="1">
        <f t="shared" si="97"/>
        <v>12.322921122059267</v>
      </c>
      <c r="AQ101" s="1">
        <f t="shared" si="98"/>
        <v>17.74006108317278</v>
      </c>
      <c r="AR101" s="1">
        <f t="shared" si="118"/>
        <v>0</v>
      </c>
      <c r="AS101" s="1">
        <f t="shared" si="99"/>
        <v>12.322921122059267</v>
      </c>
      <c r="AT101" s="1">
        <f t="shared" si="100"/>
        <v>7.1146418270234424</v>
      </c>
    </row>
    <row r="102" spans="1:46" x14ac:dyDescent="0.25">
      <c r="A102" s="14">
        <f t="shared" si="119"/>
        <v>2.722713633111157</v>
      </c>
      <c r="B102" s="14">
        <f t="shared" si="75"/>
        <v>-4.5677272882130104</v>
      </c>
      <c r="C102" s="14">
        <f t="shared" si="76"/>
        <v>2.0336832153789879</v>
      </c>
      <c r="D102" s="14">
        <f t="shared" si="101"/>
        <v>0.92793338564365435</v>
      </c>
      <c r="E102" s="14">
        <f t="shared" si="77"/>
        <v>2.6772324434287116</v>
      </c>
      <c r="F102" s="14">
        <f t="shared" si="78"/>
        <v>5.6716464590229236</v>
      </c>
      <c r="G102" s="14">
        <f t="shared" si="102"/>
        <v>3.4000916136656025</v>
      </c>
      <c r="H102" s="14">
        <f t="shared" si="103"/>
        <v>4.5394879198900959</v>
      </c>
      <c r="I102" s="14">
        <f t="shared" si="104"/>
        <v>0.9310846745708663</v>
      </c>
      <c r="J102" s="14">
        <f t="shared" si="79"/>
        <v>5.6812609085865198</v>
      </c>
      <c r="K102" s="14">
        <f t="shared" si="105"/>
        <v>4.0685567363962338E-2</v>
      </c>
      <c r="L102" s="14">
        <f t="shared" si="80"/>
        <v>0.20671666897754418</v>
      </c>
      <c r="M102" s="14">
        <f t="shared" si="81"/>
        <v>1.5817781386584753</v>
      </c>
      <c r="N102" s="14">
        <f t="shared" si="82"/>
        <v>0.25120499584570438</v>
      </c>
      <c r="O102" s="14">
        <f t="shared" si="106"/>
        <v>0.85113594506388102</v>
      </c>
      <c r="P102" s="14">
        <f t="shared" si="107"/>
        <v>0.93735886257213819</v>
      </c>
      <c r="Q102" s="14">
        <f t="shared" si="108"/>
        <v>-0.73071462515280339</v>
      </c>
      <c r="R102" s="1">
        <f t="shared" si="83"/>
        <v>0.46257779012760913</v>
      </c>
      <c r="S102" s="1">
        <f t="shared" si="84"/>
        <v>-0.2661073817500762</v>
      </c>
      <c r="T102" s="1">
        <f t="shared" si="85"/>
        <v>12.481356191026839</v>
      </c>
      <c r="U102" s="1">
        <f t="shared" si="86"/>
        <v>17.766126578814799</v>
      </c>
      <c r="V102" s="1">
        <f t="shared" si="109"/>
        <v>0</v>
      </c>
      <c r="W102" s="1">
        <f t="shared" si="87"/>
        <v>12.481356191026839</v>
      </c>
      <c r="X102" s="1">
        <f t="shared" si="88"/>
        <v>7.2061143567409474</v>
      </c>
      <c r="Z102" s="14">
        <f t="shared" si="110"/>
        <v>2.2136592679461295</v>
      </c>
      <c r="AA102" s="14">
        <f t="shared" si="89"/>
        <v>2.6772324434287711</v>
      </c>
      <c r="AB102" s="14">
        <f t="shared" si="90"/>
        <v>5.6716464590229521</v>
      </c>
      <c r="AC102" s="14">
        <f t="shared" si="111"/>
        <v>-3.4000916136655772</v>
      </c>
      <c r="AD102" s="14">
        <f t="shared" si="112"/>
        <v>4.5394879198901501</v>
      </c>
      <c r="AE102" s="14">
        <f t="shared" si="113"/>
        <v>2.2105079790189173</v>
      </c>
      <c r="AF102" s="14">
        <f t="shared" si="91"/>
        <v>5.6812609085865491</v>
      </c>
      <c r="AG102" s="14">
        <f t="shared" si="114"/>
        <v>4.0685567363963671E-2</v>
      </c>
      <c r="AH102" s="14">
        <f t="shared" si="92"/>
        <v>0.20671666897755009</v>
      </c>
      <c r="AI102" s="14">
        <f t="shared" si="93"/>
        <v>1.5817781386584524</v>
      </c>
      <c r="AJ102" s="14">
        <f t="shared" si="94"/>
        <v>-0.25120499584570999</v>
      </c>
      <c r="AK102" s="14">
        <f t="shared" si="115"/>
        <v>0.85113594506387724</v>
      </c>
      <c r="AL102" s="14">
        <f t="shared" si="116"/>
        <v>0.93735886257212508</v>
      </c>
      <c r="AM102" s="14">
        <f t="shared" si="117"/>
        <v>0.73042840077314586</v>
      </c>
      <c r="AN102" s="1">
        <f t="shared" si="95"/>
        <v>-0.46269875377740433</v>
      </c>
      <c r="AO102" s="1">
        <f t="shared" si="96"/>
        <v>-0.26584797436595836</v>
      </c>
      <c r="AP102" s="1">
        <f t="shared" si="97"/>
        <v>12.490276932756389</v>
      </c>
      <c r="AQ102" s="1">
        <f t="shared" si="98"/>
        <v>17.758641187720585</v>
      </c>
      <c r="AR102" s="1">
        <f t="shared" si="118"/>
        <v>0</v>
      </c>
      <c r="AS102" s="1">
        <f t="shared" si="99"/>
        <v>12.490276932756389</v>
      </c>
      <c r="AT102" s="1">
        <f t="shared" si="100"/>
        <v>7.2112647493798745</v>
      </c>
    </row>
    <row r="103" spans="1:46" x14ac:dyDescent="0.25">
      <c r="A103" s="14">
        <f t="shared" si="119"/>
        <v>2.7576202181510436</v>
      </c>
      <c r="B103" s="14">
        <f t="shared" si="75"/>
        <v>-4.6359192728339425</v>
      </c>
      <c r="C103" s="14">
        <f t="shared" si="76"/>
        <v>1.8730329670795467</v>
      </c>
      <c r="D103" s="14">
        <f t="shared" si="101"/>
        <v>0.93423596349807836</v>
      </c>
      <c r="E103" s="14">
        <f t="shared" si="77"/>
        <v>2.7179180107926739</v>
      </c>
      <c r="F103" s="14">
        <f t="shared" si="78"/>
        <v>5.6909646206413207</v>
      </c>
      <c r="G103" s="14">
        <f t="shared" si="102"/>
        <v>3.3828971499083105</v>
      </c>
      <c r="H103" s="14">
        <f t="shared" si="103"/>
        <v>4.5763615664120598</v>
      </c>
      <c r="I103" s="14">
        <f t="shared" si="104"/>
        <v>0.93738725242529042</v>
      </c>
      <c r="J103" s="14">
        <f t="shared" si="79"/>
        <v>5.700758246583689</v>
      </c>
      <c r="K103" s="14">
        <f t="shared" si="105"/>
        <v>4.0965305158670695E-2</v>
      </c>
      <c r="L103" s="14">
        <f t="shared" si="80"/>
        <v>0.21066168017419684</v>
      </c>
      <c r="M103" s="14">
        <f t="shared" si="81"/>
        <v>1.5669820300923725</v>
      </c>
      <c r="N103" s="14">
        <f t="shared" si="82"/>
        <v>0.25488334785300137</v>
      </c>
      <c r="O103" s="14">
        <f t="shared" si="106"/>
        <v>0.84860985674132117</v>
      </c>
      <c r="P103" s="14">
        <f t="shared" si="107"/>
        <v>0.92903385352524814</v>
      </c>
      <c r="Q103" s="14">
        <f t="shared" si="108"/>
        <v>-0.72336003421437334</v>
      </c>
      <c r="R103" s="1">
        <f t="shared" si="83"/>
        <v>0.46339656104834398</v>
      </c>
      <c r="S103" s="1">
        <f t="shared" si="84"/>
        <v>-0.26296015956448016</v>
      </c>
      <c r="T103" s="1">
        <f t="shared" si="85"/>
        <v>12.652058557670738</v>
      </c>
      <c r="U103" s="1">
        <f t="shared" si="86"/>
        <v>17.785607060622304</v>
      </c>
      <c r="V103" s="1">
        <f t="shared" si="109"/>
        <v>0</v>
      </c>
      <c r="W103" s="1">
        <f t="shared" si="87"/>
        <v>12.652058557670738</v>
      </c>
      <c r="X103" s="1">
        <f t="shared" si="88"/>
        <v>7.3046694140741089</v>
      </c>
      <c r="Z103" s="14">
        <f t="shared" si="110"/>
        <v>2.2073566900917054</v>
      </c>
      <c r="AA103" s="14">
        <f t="shared" si="89"/>
        <v>2.7179180107927348</v>
      </c>
      <c r="AB103" s="14">
        <f t="shared" si="90"/>
        <v>5.69096462064135</v>
      </c>
      <c r="AC103" s="14">
        <f t="shared" si="111"/>
        <v>-3.3828971499082852</v>
      </c>
      <c r="AD103" s="14">
        <f t="shared" si="112"/>
        <v>4.5763615664121149</v>
      </c>
      <c r="AE103" s="14">
        <f t="shared" si="113"/>
        <v>2.2042054011644936</v>
      </c>
      <c r="AF103" s="14">
        <f t="shared" si="91"/>
        <v>5.7007582465837174</v>
      </c>
      <c r="AG103" s="14">
        <f t="shared" si="114"/>
        <v>4.0965305158672471E-2</v>
      </c>
      <c r="AH103" s="14">
        <f t="shared" si="92"/>
        <v>0.21066168017420245</v>
      </c>
      <c r="AI103" s="14">
        <f t="shared" si="93"/>
        <v>1.5669820300923512</v>
      </c>
      <c r="AJ103" s="14">
        <f t="shared" si="94"/>
        <v>-0.25488334785300643</v>
      </c>
      <c r="AK103" s="14">
        <f t="shared" si="115"/>
        <v>0.84860985674131795</v>
      </c>
      <c r="AL103" s="14">
        <f t="shared" si="116"/>
        <v>0.92903385352523582</v>
      </c>
      <c r="AM103" s="14">
        <f t="shared" si="117"/>
        <v>0.72309222985924348</v>
      </c>
      <c r="AN103" s="1">
        <f t="shared" si="95"/>
        <v>-0.46350974005939261</v>
      </c>
      <c r="AO103" s="1">
        <f t="shared" si="96"/>
        <v>-0.26271744639202882</v>
      </c>
      <c r="AP103" s="1">
        <f t="shared" si="97"/>
        <v>12.660462591584768</v>
      </c>
      <c r="AQ103" s="1">
        <f t="shared" si="98"/>
        <v>17.778555238865845</v>
      </c>
      <c r="AR103" s="1">
        <f t="shared" si="118"/>
        <v>0</v>
      </c>
      <c r="AS103" s="1">
        <f t="shared" si="99"/>
        <v>12.660462591584768</v>
      </c>
      <c r="AT103" s="1">
        <f t="shared" si="100"/>
        <v>7.3095214853166519</v>
      </c>
    </row>
    <row r="104" spans="1:46" x14ac:dyDescent="0.25">
      <c r="A104" s="14">
        <f t="shared" si="119"/>
        <v>2.7925268031909303</v>
      </c>
      <c r="B104" s="14">
        <f t="shared" si="75"/>
        <v>-4.698463103929547</v>
      </c>
      <c r="C104" s="14">
        <f t="shared" si="76"/>
        <v>1.7101007166283297</v>
      </c>
      <c r="D104" s="14">
        <f t="shared" si="101"/>
        <v>0.94053854135250237</v>
      </c>
      <c r="E104" s="14">
        <f t="shared" si="77"/>
        <v>2.7588833159513446</v>
      </c>
      <c r="F104" s="14">
        <f t="shared" si="78"/>
        <v>5.7106424464358385</v>
      </c>
      <c r="G104" s="14">
        <f t="shared" si="102"/>
        <v>3.3655844638504759</v>
      </c>
      <c r="H104" s="14">
        <f t="shared" si="103"/>
        <v>4.6134887414756962</v>
      </c>
      <c r="I104" s="14">
        <f t="shared" si="104"/>
        <v>0.94368983027971431</v>
      </c>
      <c r="J104" s="14">
        <f t="shared" si="79"/>
        <v>5.7206178889667845</v>
      </c>
      <c r="K104" s="14">
        <f t="shared" si="105"/>
        <v>4.1251226419057208E-2</v>
      </c>
      <c r="L104" s="14">
        <f t="shared" si="80"/>
        <v>0.21464408680706681</v>
      </c>
      <c r="M104" s="14">
        <f t="shared" si="81"/>
        <v>1.5523965032403504</v>
      </c>
      <c r="N104" s="14">
        <f t="shared" si="82"/>
        <v>0.25846538377791722</v>
      </c>
      <c r="O104" s="14">
        <f t="shared" si="106"/>
        <v>0.84613499171241702</v>
      </c>
      <c r="P104" s="14">
        <f t="shared" si="107"/>
        <v>0.92090559833500008</v>
      </c>
      <c r="Q104" s="14">
        <f t="shared" si="108"/>
        <v>-0.71610200085327302</v>
      </c>
      <c r="R104" s="1">
        <f t="shared" si="83"/>
        <v>0.46422094904350769</v>
      </c>
      <c r="S104" s="1">
        <f t="shared" si="84"/>
        <v>-0.25981729649023061</v>
      </c>
      <c r="T104" s="1">
        <f t="shared" si="85"/>
        <v>12.82597680348435</v>
      </c>
      <c r="U104" s="1">
        <f t="shared" si="86"/>
        <v>17.806615343875777</v>
      </c>
      <c r="V104" s="1">
        <f t="shared" si="109"/>
        <v>0</v>
      </c>
      <c r="W104" s="1">
        <f t="shared" si="87"/>
        <v>12.82597680348435</v>
      </c>
      <c r="X104" s="1">
        <f t="shared" si="88"/>
        <v>7.4050811601115845</v>
      </c>
      <c r="Z104" s="14">
        <f t="shared" si="110"/>
        <v>2.2010541122372813</v>
      </c>
      <c r="AA104" s="14">
        <f t="shared" si="89"/>
        <v>2.7588833159514072</v>
      </c>
      <c r="AB104" s="14">
        <f t="shared" si="90"/>
        <v>5.7106424464358678</v>
      </c>
      <c r="AC104" s="14">
        <f t="shared" si="111"/>
        <v>-3.3655844638504497</v>
      </c>
      <c r="AD104" s="14">
        <f t="shared" si="112"/>
        <v>4.6134887414757522</v>
      </c>
      <c r="AE104" s="14">
        <f t="shared" si="113"/>
        <v>2.197902823310069</v>
      </c>
      <c r="AF104" s="14">
        <f t="shared" si="91"/>
        <v>5.7206178889668147</v>
      </c>
      <c r="AG104" s="14">
        <f t="shared" si="114"/>
        <v>4.1251226419057208E-2</v>
      </c>
      <c r="AH104" s="14">
        <f t="shared" si="92"/>
        <v>0.21464408680707295</v>
      </c>
      <c r="AI104" s="14">
        <f t="shared" si="93"/>
        <v>1.5523965032403275</v>
      </c>
      <c r="AJ104" s="14">
        <f t="shared" si="94"/>
        <v>-0.25846538377792261</v>
      </c>
      <c r="AK104" s="14">
        <f t="shared" si="115"/>
        <v>0.8461349917124128</v>
      </c>
      <c r="AL104" s="14">
        <f t="shared" si="116"/>
        <v>0.9209055983349872</v>
      </c>
      <c r="AM104" s="14">
        <f t="shared" si="117"/>
        <v>0.71585215599910645</v>
      </c>
      <c r="AN104" s="1">
        <f t="shared" si="95"/>
        <v>-0.46432653804147661</v>
      </c>
      <c r="AO104" s="1">
        <f t="shared" si="96"/>
        <v>-0.25959086015335375</v>
      </c>
      <c r="AP104" s="1">
        <f t="shared" si="97"/>
        <v>12.833871969026001</v>
      </c>
      <c r="AQ104" s="1">
        <f t="shared" si="98"/>
        <v>17.799990513381626</v>
      </c>
      <c r="AR104" s="1">
        <f t="shared" si="118"/>
        <v>0</v>
      </c>
      <c r="AS104" s="1">
        <f t="shared" si="99"/>
        <v>12.833871969026001</v>
      </c>
      <c r="AT104" s="1">
        <f t="shared" si="100"/>
        <v>7.4096394360623536</v>
      </c>
    </row>
    <row r="105" spans="1:46" x14ac:dyDescent="0.25">
      <c r="A105" s="14">
        <f t="shared" si="119"/>
        <v>2.8274333882308169</v>
      </c>
      <c r="B105" s="14">
        <f t="shared" si="75"/>
        <v>-4.7552825814757727</v>
      </c>
      <c r="C105" s="14">
        <f t="shared" si="76"/>
        <v>1.5450849718747228</v>
      </c>
      <c r="D105" s="14">
        <f t="shared" si="101"/>
        <v>0.94684111920692637</v>
      </c>
      <c r="E105" s="14">
        <f t="shared" si="77"/>
        <v>2.8001345423704018</v>
      </c>
      <c r="F105" s="14">
        <f t="shared" si="78"/>
        <v>5.7306852518155189</v>
      </c>
      <c r="G105" s="14">
        <f t="shared" si="102"/>
        <v>3.3481509422465816</v>
      </c>
      <c r="H105" s="14">
        <f t="shared" si="103"/>
        <v>4.6508750492040978</v>
      </c>
      <c r="I105" s="14">
        <f t="shared" si="104"/>
        <v>0.94999240813413843</v>
      </c>
      <c r="J105" s="14">
        <f t="shared" si="79"/>
        <v>5.7408452216164498</v>
      </c>
      <c r="K105" s="14">
        <f t="shared" si="105"/>
        <v>4.1543463518294743E-2</v>
      </c>
      <c r="L105" s="14">
        <f t="shared" si="80"/>
        <v>0.21866568268708245</v>
      </c>
      <c r="M105" s="14">
        <f t="shared" si="81"/>
        <v>1.5380224980377597</v>
      </c>
      <c r="N105" s="14">
        <f t="shared" si="82"/>
        <v>0.2619472222917914</v>
      </c>
      <c r="O105" s="14">
        <f t="shared" si="106"/>
        <v>0.84371979329619529</v>
      </c>
      <c r="P105" s="14">
        <f t="shared" si="107"/>
        <v>0.91296838742864694</v>
      </c>
      <c r="Q105" s="14">
        <f t="shared" si="108"/>
        <v>-0.70893801342016149</v>
      </c>
      <c r="R105" s="1">
        <f t="shared" si="83"/>
        <v>0.46505966782776115</v>
      </c>
      <c r="S105" s="1">
        <f t="shared" si="84"/>
        <v>-0.25667892916968116</v>
      </c>
      <c r="T105" s="1">
        <f t="shared" si="85"/>
        <v>13.003519329656278</v>
      </c>
      <c r="U105" s="1">
        <f t="shared" si="86"/>
        <v>17.829325419702133</v>
      </c>
      <c r="V105" s="1">
        <f t="shared" si="109"/>
        <v>0</v>
      </c>
      <c r="W105" s="1">
        <f t="shared" si="87"/>
        <v>13.003519329656278</v>
      </c>
      <c r="X105" s="1">
        <f t="shared" si="88"/>
        <v>7.5075853853895538</v>
      </c>
      <c r="Z105" s="14">
        <f t="shared" si="110"/>
        <v>2.1947515343828572</v>
      </c>
      <c r="AA105" s="14">
        <f t="shared" si="89"/>
        <v>2.8001345423704644</v>
      </c>
      <c r="AB105" s="14">
        <f t="shared" si="90"/>
        <v>5.73068525181555</v>
      </c>
      <c r="AC105" s="14">
        <f t="shared" si="111"/>
        <v>-3.348150942246555</v>
      </c>
      <c r="AD105" s="14">
        <f t="shared" si="112"/>
        <v>4.6508750492041555</v>
      </c>
      <c r="AE105" s="14">
        <f t="shared" si="113"/>
        <v>2.1916002454556454</v>
      </c>
      <c r="AF105" s="14">
        <f t="shared" si="91"/>
        <v>5.74084522161648</v>
      </c>
      <c r="AG105" s="14">
        <f t="shared" si="114"/>
        <v>4.1543463518296964E-2</v>
      </c>
      <c r="AH105" s="14">
        <f t="shared" si="92"/>
        <v>0.21866568268708853</v>
      </c>
      <c r="AI105" s="14">
        <f t="shared" si="93"/>
        <v>1.5380224980377382</v>
      </c>
      <c r="AJ105" s="14">
        <f t="shared" si="94"/>
        <v>-0.26194722229179646</v>
      </c>
      <c r="AK105" s="14">
        <f t="shared" si="115"/>
        <v>0.84371979329619162</v>
      </c>
      <c r="AL105" s="14">
        <f t="shared" si="116"/>
        <v>0.91296838742863518</v>
      </c>
      <c r="AM105" s="14">
        <f t="shared" si="117"/>
        <v>0.70870571219283707</v>
      </c>
      <c r="AN105" s="1">
        <f t="shared" si="95"/>
        <v>-0.46515784256864989</v>
      </c>
      <c r="AO105" s="1">
        <f t="shared" si="96"/>
        <v>-0.25646839275842387</v>
      </c>
      <c r="AP105" s="1">
        <f t="shared" si="97"/>
        <v>13.010912116292372</v>
      </c>
      <c r="AQ105" s="1">
        <f t="shared" si="98"/>
        <v>17.823122135163906</v>
      </c>
      <c r="AR105" s="1">
        <f t="shared" si="118"/>
        <v>0</v>
      </c>
      <c r="AS105" s="1">
        <f t="shared" si="99"/>
        <v>13.010912116292372</v>
      </c>
      <c r="AT105" s="1">
        <f t="shared" si="100"/>
        <v>7.5118536127439643</v>
      </c>
    </row>
    <row r="106" spans="1:46" x14ac:dyDescent="0.25">
      <c r="A106" s="14">
        <f t="shared" si="119"/>
        <v>2.8623399732707036</v>
      </c>
      <c r="B106" s="14">
        <f t="shared" si="75"/>
        <v>-4.806308479691598</v>
      </c>
      <c r="C106" s="14">
        <f t="shared" si="76"/>
        <v>1.3781867790849813</v>
      </c>
      <c r="D106" s="14">
        <f t="shared" si="101"/>
        <v>0.95314369706135038</v>
      </c>
      <c r="E106" s="14">
        <f t="shared" si="77"/>
        <v>2.8416780058886966</v>
      </c>
      <c r="F106" s="14">
        <f t="shared" si="78"/>
        <v>5.7510984941271488</v>
      </c>
      <c r="G106" s="14">
        <f t="shared" si="102"/>
        <v>3.3305939159077913</v>
      </c>
      <c r="H106" s="14">
        <f t="shared" si="103"/>
        <v>4.6885262136912029</v>
      </c>
      <c r="I106" s="14">
        <f t="shared" si="104"/>
        <v>0.95629498598856233</v>
      </c>
      <c r="J106" s="14">
        <f t="shared" si="79"/>
        <v>5.7614457743584744</v>
      </c>
      <c r="K106" s="14">
        <f t="shared" si="105"/>
        <v>4.1842153031762752E-2</v>
      </c>
      <c r="L106" s="14">
        <f t="shared" si="80"/>
        <v>0.22272831483174374</v>
      </c>
      <c r="M106" s="14">
        <f t="shared" si="81"/>
        <v>1.523860758383961</v>
      </c>
      <c r="N106" s="14">
        <f t="shared" si="82"/>
        <v>0.26532507516352177</v>
      </c>
      <c r="O106" s="14">
        <f t="shared" si="106"/>
        <v>0.84137236679730842</v>
      </c>
      <c r="P106" s="14">
        <f t="shared" si="107"/>
        <v>0.90521670641839613</v>
      </c>
      <c r="Q106" s="14">
        <f t="shared" si="108"/>
        <v>-0.70186521462539808</v>
      </c>
      <c r="R106" s="1">
        <f t="shared" si="83"/>
        <v>0.46592127084460838</v>
      </c>
      <c r="S106" s="1">
        <f t="shared" si="84"/>
        <v>-0.25354479849996425</v>
      </c>
      <c r="T106" s="1">
        <f t="shared" si="85"/>
        <v>13.185107370946779</v>
      </c>
      <c r="U106" s="1">
        <f t="shared" si="86"/>
        <v>17.853898696075778</v>
      </c>
      <c r="V106" s="1">
        <f t="shared" si="109"/>
        <v>0</v>
      </c>
      <c r="W106" s="1">
        <f t="shared" si="87"/>
        <v>13.185107370946779</v>
      </c>
      <c r="X106" s="1">
        <f t="shared" si="88"/>
        <v>7.6124252899102416</v>
      </c>
      <c r="Z106" s="14">
        <f t="shared" si="110"/>
        <v>2.1884489565284331</v>
      </c>
      <c r="AA106" s="14">
        <f t="shared" si="89"/>
        <v>2.8416780058887614</v>
      </c>
      <c r="AB106" s="14">
        <f t="shared" si="90"/>
        <v>5.7510984941271817</v>
      </c>
      <c r="AC106" s="14">
        <f t="shared" si="111"/>
        <v>-3.3305939159077642</v>
      </c>
      <c r="AD106" s="14">
        <f t="shared" si="112"/>
        <v>4.6885262136912624</v>
      </c>
      <c r="AE106" s="14">
        <f t="shared" si="113"/>
        <v>2.1852976676012208</v>
      </c>
      <c r="AF106" s="14">
        <f t="shared" si="91"/>
        <v>5.7614457743585072</v>
      </c>
      <c r="AG106" s="14">
        <f t="shared" si="114"/>
        <v>4.1842153031763196E-2</v>
      </c>
      <c r="AH106" s="14">
        <f t="shared" si="92"/>
        <v>0.22272831483175015</v>
      </c>
      <c r="AI106" s="14">
        <f t="shared" si="93"/>
        <v>1.5238607583839385</v>
      </c>
      <c r="AJ106" s="14">
        <f t="shared" si="94"/>
        <v>-0.2653250751635271</v>
      </c>
      <c r="AK106" s="14">
        <f t="shared" si="115"/>
        <v>0.84137236679730476</v>
      </c>
      <c r="AL106" s="14">
        <f t="shared" si="116"/>
        <v>0.90521670641838392</v>
      </c>
      <c r="AM106" s="14">
        <f t="shared" si="117"/>
        <v>0.70165008412684304</v>
      </c>
      <c r="AN106" s="1">
        <f t="shared" si="95"/>
        <v>-0.4660121889219519</v>
      </c>
      <c r="AO106" s="1">
        <f t="shared" si="96"/>
        <v>-0.25334982405389983</v>
      </c>
      <c r="AP106" s="1">
        <f t="shared" si="97"/>
        <v>13.192002937806109</v>
      </c>
      <c r="AQ106" s="1">
        <f t="shared" si="98"/>
        <v>17.848112628467625</v>
      </c>
      <c r="AR106" s="1">
        <f t="shared" si="118"/>
        <v>0</v>
      </c>
      <c r="AS106" s="1">
        <f t="shared" si="99"/>
        <v>13.192002937806109</v>
      </c>
      <c r="AT106" s="1">
        <f t="shared" si="100"/>
        <v>7.6164064472926905</v>
      </c>
    </row>
    <row r="107" spans="1:46" x14ac:dyDescent="0.25">
      <c r="A107" s="14">
        <f t="shared" si="119"/>
        <v>2.8972465583105902</v>
      </c>
      <c r="B107" s="14">
        <f t="shared" si="75"/>
        <v>-4.8514786313799867</v>
      </c>
      <c r="C107" s="14">
        <f t="shared" si="76"/>
        <v>1.2096094779983237</v>
      </c>
      <c r="D107" s="14">
        <f t="shared" si="101"/>
        <v>0.95944627491577439</v>
      </c>
      <c r="E107" s="14">
        <f t="shared" si="77"/>
        <v>2.8835201589204593</v>
      </c>
      <c r="F107" s="14">
        <f t="shared" si="78"/>
        <v>5.7718877767070857</v>
      </c>
      <c r="G107" s="14">
        <f t="shared" si="102"/>
        <v>3.3129106579260199</v>
      </c>
      <c r="H107" s="14">
        <f t="shared" si="103"/>
        <v>4.7264480828102675</v>
      </c>
      <c r="I107" s="14">
        <f t="shared" si="104"/>
        <v>0.96259756384298645</v>
      </c>
      <c r="J107" s="14">
        <f t="shared" si="79"/>
        <v>5.7824252250904387</v>
      </c>
      <c r="K107" s="14">
        <f t="shared" si="105"/>
        <v>4.2147435885557805E-2</v>
      </c>
      <c r="L107" s="14">
        <f t="shared" si="80"/>
        <v>0.22683387980493708</v>
      </c>
      <c r="M107" s="14">
        <f t="shared" si="81"/>
        <v>1.5099118347896032</v>
      </c>
      <c r="N107" s="14">
        <f t="shared" si="82"/>
        <v>0.26859525167328285</v>
      </c>
      <c r="O107" s="14">
        <f t="shared" si="106"/>
        <v>0.8391004633985466</v>
      </c>
      <c r="P107" s="14">
        <f t="shared" si="107"/>
        <v>0.89764525119599403</v>
      </c>
      <c r="Q107" s="14">
        <f t="shared" si="108"/>
        <v>-0.69488041835900105</v>
      </c>
      <c r="R107" s="1">
        <f t="shared" si="83"/>
        <v>0.4668141295596332</v>
      </c>
      <c r="S107" s="1">
        <f t="shared" si="84"/>
        <v>-0.25041425849780324</v>
      </c>
      <c r="T107" s="1">
        <f t="shared" si="85"/>
        <v>13.371174654293318</v>
      </c>
      <c r="U107" s="1">
        <f t="shared" si="86"/>
        <v>17.88048356914215</v>
      </c>
      <c r="V107" s="1">
        <f t="shared" si="109"/>
        <v>0</v>
      </c>
      <c r="W107" s="1">
        <f t="shared" si="87"/>
        <v>13.371174654293318</v>
      </c>
      <c r="X107" s="1">
        <f t="shared" si="88"/>
        <v>7.7198512860377484</v>
      </c>
      <c r="Z107" s="14">
        <f t="shared" si="110"/>
        <v>2.182146378674009</v>
      </c>
      <c r="AA107" s="14">
        <f t="shared" si="89"/>
        <v>2.8835201589205246</v>
      </c>
      <c r="AB107" s="14">
        <f t="shared" si="90"/>
        <v>5.7718877767071186</v>
      </c>
      <c r="AC107" s="14">
        <f t="shared" si="111"/>
        <v>-3.3129106579259924</v>
      </c>
      <c r="AD107" s="14">
        <f t="shared" si="112"/>
        <v>4.726448082810327</v>
      </c>
      <c r="AE107" s="14">
        <f t="shared" si="113"/>
        <v>2.1789950897467971</v>
      </c>
      <c r="AF107" s="14">
        <f t="shared" si="91"/>
        <v>5.7824252250904706</v>
      </c>
      <c r="AG107" s="14">
        <f t="shared" si="114"/>
        <v>4.2147435885559137E-2</v>
      </c>
      <c r="AH107" s="14">
        <f t="shared" si="92"/>
        <v>0.22683387980494321</v>
      </c>
      <c r="AI107" s="14">
        <f t="shared" si="93"/>
        <v>1.5099118347895821</v>
      </c>
      <c r="AJ107" s="14">
        <f t="shared" si="94"/>
        <v>-0.26859525167328768</v>
      </c>
      <c r="AK107" s="14">
        <f t="shared" si="115"/>
        <v>0.83910046339854305</v>
      </c>
      <c r="AL107" s="14">
        <f t="shared" si="116"/>
        <v>0.89764525119598226</v>
      </c>
      <c r="AM107" s="14">
        <f t="shared" si="117"/>
        <v>0.69468212689514663</v>
      </c>
      <c r="AN107" s="1">
        <f t="shared" si="95"/>
        <v>-0.46689793115340211</v>
      </c>
      <c r="AO107" s="1">
        <f t="shared" si="96"/>
        <v>-0.250234545400014</v>
      </c>
      <c r="AP107" s="1">
        <f t="shared" si="97"/>
        <v>13.377576852923607</v>
      </c>
      <c r="AQ107" s="1">
        <f t="shared" si="98"/>
        <v>17.875111486633621</v>
      </c>
      <c r="AR107" s="1">
        <f t="shared" si="118"/>
        <v>0</v>
      </c>
      <c r="AS107" s="1">
        <f t="shared" si="99"/>
        <v>13.377576852923607</v>
      </c>
      <c r="AT107" s="1">
        <f t="shared" si="100"/>
        <v>7.7235475971403504</v>
      </c>
    </row>
    <row r="108" spans="1:46" x14ac:dyDescent="0.25">
      <c r="A108" s="14">
        <f t="shared" si="119"/>
        <v>2.9321531433504768</v>
      </c>
      <c r="B108" s="14">
        <f t="shared" si="75"/>
        <v>-4.8907380036690311</v>
      </c>
      <c r="C108" s="14">
        <f t="shared" si="76"/>
        <v>1.0395584540887812</v>
      </c>
      <c r="D108" s="14">
        <f t="shared" si="101"/>
        <v>0.9657488527701984</v>
      </c>
      <c r="E108" s="14">
        <f t="shared" si="77"/>
        <v>2.9256675948060171</v>
      </c>
      <c r="F108" s="14">
        <f t="shared" si="78"/>
        <v>5.7930588530842702</v>
      </c>
      <c r="G108" s="14">
        <f t="shared" si="102"/>
        <v>3.2950983818352384</v>
      </c>
      <c r="H108" s="14">
        <f t="shared" si="103"/>
        <v>4.7646466321569783</v>
      </c>
      <c r="I108" s="14">
        <f t="shared" si="104"/>
        <v>0.96890014169741034</v>
      </c>
      <c r="J108" s="14">
        <f t="shared" si="79"/>
        <v>5.8037894040626696</v>
      </c>
      <c r="K108" s="14">
        <f t="shared" si="105"/>
        <v>4.245945751145408E-2</v>
      </c>
      <c r="L108" s="14">
        <f t="shared" si="80"/>
        <v>0.23098431994814009</v>
      </c>
      <c r="M108" s="14">
        <f t="shared" si="81"/>
        <v>1.4961760872212151</v>
      </c>
      <c r="N108" s="14">
        <f t="shared" si="82"/>
        <v>0.27175416289047372</v>
      </c>
      <c r="O108" s="14">
        <f t="shared" si="106"/>
        <v>0.83691146503139202</v>
      </c>
      <c r="P108" s="14">
        <f t="shared" si="107"/>
        <v>0.89024894213796335</v>
      </c>
      <c r="Q108" s="14">
        <f t="shared" si="108"/>
        <v>-0.68798012720293777</v>
      </c>
      <c r="R108" s="1">
        <f t="shared" si="83"/>
        <v>0.46774641234755071</v>
      </c>
      <c r="S108" s="1">
        <f t="shared" si="84"/>
        <v>-0.24728628616764486</v>
      </c>
      <c r="T108" s="1">
        <f t="shared" si="85"/>
        <v>13.562167047569408</v>
      </c>
      <c r="U108" s="1">
        <f t="shared" si="86"/>
        <v>17.909215010556668</v>
      </c>
      <c r="V108" s="1">
        <f t="shared" si="109"/>
        <v>0</v>
      </c>
      <c r="W108" s="1">
        <f t="shared" si="87"/>
        <v>13.562167047569408</v>
      </c>
      <c r="X108" s="1">
        <f t="shared" si="88"/>
        <v>7.8301207957088694</v>
      </c>
      <c r="Z108" s="14">
        <f t="shared" si="110"/>
        <v>2.1758438008195848</v>
      </c>
      <c r="AA108" s="14">
        <f t="shared" si="89"/>
        <v>2.9256675948060837</v>
      </c>
      <c r="AB108" s="14">
        <f t="shared" si="90"/>
        <v>5.793058853084303</v>
      </c>
      <c r="AC108" s="14">
        <f t="shared" si="111"/>
        <v>-3.2950983818352095</v>
      </c>
      <c r="AD108" s="14">
        <f t="shared" si="112"/>
        <v>4.7646466321570387</v>
      </c>
      <c r="AE108" s="14">
        <f t="shared" si="113"/>
        <v>2.1726925118923726</v>
      </c>
      <c r="AF108" s="14">
        <f t="shared" si="91"/>
        <v>5.8037894040627052</v>
      </c>
      <c r="AG108" s="14">
        <f t="shared" si="114"/>
        <v>4.2459457511455412E-2</v>
      </c>
      <c r="AH108" s="14">
        <f t="shared" si="92"/>
        <v>0.23098431994814703</v>
      </c>
      <c r="AI108" s="14">
        <f t="shared" si="93"/>
        <v>1.4961760872211929</v>
      </c>
      <c r="AJ108" s="14">
        <f t="shared" si="94"/>
        <v>-0.27175416289047899</v>
      </c>
      <c r="AK108" s="14">
        <f t="shared" si="115"/>
        <v>0.83691146503138825</v>
      </c>
      <c r="AL108" s="14">
        <f t="shared" si="116"/>
        <v>0.89024894213795158</v>
      </c>
      <c r="AM108" s="14">
        <f t="shared" si="117"/>
        <v>0.68779838241887548</v>
      </c>
      <c r="AN108" s="1">
        <f t="shared" si="95"/>
        <v>-0.46782322101226803</v>
      </c>
      <c r="AO108" s="1">
        <f t="shared" si="96"/>
        <v>-0.24712156945460079</v>
      </c>
      <c r="AP108" s="1">
        <f t="shared" si="97"/>
        <v>13.568078447789206</v>
      </c>
      <c r="AQ108" s="1">
        <f t="shared" si="98"/>
        <v>17.904254756813351</v>
      </c>
      <c r="AR108" s="1">
        <f t="shared" si="118"/>
        <v>0</v>
      </c>
      <c r="AS108" s="1">
        <f t="shared" si="99"/>
        <v>13.568078447789206</v>
      </c>
      <c r="AT108" s="1">
        <f t="shared" si="100"/>
        <v>7.8335337442170578</v>
      </c>
    </row>
    <row r="109" spans="1:46" x14ac:dyDescent="0.25">
      <c r="A109" s="14">
        <f t="shared" si="119"/>
        <v>2.9670597283903635</v>
      </c>
      <c r="B109" s="14">
        <f t="shared" si="75"/>
        <v>-4.9240387650610433</v>
      </c>
      <c r="C109" s="14">
        <f t="shared" si="76"/>
        <v>0.86824088833463597</v>
      </c>
      <c r="D109" s="14">
        <f t="shared" si="101"/>
        <v>0.9720514306246224</v>
      </c>
      <c r="E109" s="14">
        <f t="shared" si="77"/>
        <v>2.9681270523174712</v>
      </c>
      <c r="F109" s="14">
        <f t="shared" si="78"/>
        <v>5.8146176313407576</v>
      </c>
      <c r="G109" s="14">
        <f t="shared" si="102"/>
        <v>3.2771542397072948</v>
      </c>
      <c r="H109" s="14">
        <f t="shared" si="103"/>
        <v>4.8031279691329596</v>
      </c>
      <c r="I109" s="14">
        <f t="shared" si="104"/>
        <v>0.97520271955183446</v>
      </c>
      <c r="J109" s="14">
        <f t="shared" si="79"/>
        <v>5.8255442983200352</v>
      </c>
      <c r="K109" s="14">
        <f t="shared" si="105"/>
        <v>4.2778368008549617E-2</v>
      </c>
      <c r="L109" s="14">
        <f t="shared" si="80"/>
        <v>0.2351816195084668</v>
      </c>
      <c r="M109" s="14">
        <f t="shared" si="81"/>
        <v>1.4826536881381265</v>
      </c>
      <c r="N109" s="14">
        <f t="shared" si="82"/>
        <v>0.27479832581045427</v>
      </c>
      <c r="O109" s="14">
        <f t="shared" si="106"/>
        <v>0.83481237025558985</v>
      </c>
      <c r="P109" s="14">
        <f t="shared" si="107"/>
        <v>0.88302293739100357</v>
      </c>
      <c r="Q109" s="14">
        <f t="shared" si="108"/>
        <v>-0.68116055058637948</v>
      </c>
      <c r="R109" s="1">
        <f t="shared" si="83"/>
        <v>0.46872606402201067</v>
      </c>
      <c r="S109" s="1">
        <f t="shared" si="84"/>
        <v>-0.24415949234125517</v>
      </c>
      <c r="T109" s="1">
        <f t="shared" si="85"/>
        <v>13.758542199413375</v>
      </c>
      <c r="U109" s="1">
        <f t="shared" si="86"/>
        <v>17.940214171302824</v>
      </c>
      <c r="V109" s="1">
        <f t="shared" si="109"/>
        <v>0</v>
      </c>
      <c r="W109" s="1">
        <f t="shared" si="87"/>
        <v>13.758542199413375</v>
      </c>
      <c r="X109" s="1">
        <f t="shared" si="88"/>
        <v>7.9434980424881374</v>
      </c>
      <c r="Z109" s="14">
        <f t="shared" si="110"/>
        <v>2.1695412229651607</v>
      </c>
      <c r="AA109" s="14">
        <f t="shared" si="89"/>
        <v>2.9681270523175391</v>
      </c>
      <c r="AB109" s="14">
        <f t="shared" si="90"/>
        <v>5.8146176313407922</v>
      </c>
      <c r="AC109" s="14">
        <f t="shared" si="111"/>
        <v>-3.277154239707265</v>
      </c>
      <c r="AD109" s="14">
        <f t="shared" si="112"/>
        <v>4.8031279691330209</v>
      </c>
      <c r="AE109" s="14">
        <f t="shared" si="113"/>
        <v>2.1663899340379489</v>
      </c>
      <c r="AF109" s="14">
        <f t="shared" si="91"/>
        <v>5.8255442983200698</v>
      </c>
      <c r="AG109" s="14">
        <f t="shared" si="114"/>
        <v>4.2778368008551837E-2</v>
      </c>
      <c r="AH109" s="14">
        <f t="shared" si="92"/>
        <v>0.23518161950847352</v>
      </c>
      <c r="AI109" s="14">
        <f t="shared" si="93"/>
        <v>1.4826536881381056</v>
      </c>
      <c r="AJ109" s="14">
        <f t="shared" si="94"/>
        <v>-0.27479832581045904</v>
      </c>
      <c r="AK109" s="14">
        <f t="shared" si="115"/>
        <v>0.83481237025558674</v>
      </c>
      <c r="AL109" s="14">
        <f t="shared" si="116"/>
        <v>0.88302293739099269</v>
      </c>
      <c r="AM109" s="14">
        <f t="shared" si="117"/>
        <v>0.68099509751480458</v>
      </c>
      <c r="AN109" s="1">
        <f t="shared" si="95"/>
        <v>-0.46879598751151641</v>
      </c>
      <c r="AO109" s="1">
        <f t="shared" si="96"/>
        <v>-0.24400954093410226</v>
      </c>
      <c r="AP109" s="1">
        <f t="shared" si="97"/>
        <v>13.763964118260079</v>
      </c>
      <c r="AQ109" s="1">
        <f t="shared" si="98"/>
        <v>17.935664641199772</v>
      </c>
      <c r="AR109" s="1">
        <f t="shared" si="118"/>
        <v>0</v>
      </c>
      <c r="AS109" s="1">
        <f t="shared" si="99"/>
        <v>13.763964118260079</v>
      </c>
      <c r="AT109" s="1">
        <f t="shared" si="100"/>
        <v>7.9466283887938056</v>
      </c>
    </row>
    <row r="110" spans="1:46" x14ac:dyDescent="0.25">
      <c r="A110" s="14">
        <f t="shared" si="119"/>
        <v>3.0019663134302501</v>
      </c>
      <c r="B110" s="14">
        <f t="shared" si="75"/>
        <v>-4.9513403437078543</v>
      </c>
      <c r="C110" s="14">
        <f t="shared" si="76"/>
        <v>0.69586550480031129</v>
      </c>
      <c r="D110" s="14">
        <f t="shared" si="101"/>
        <v>0.97835400847904641</v>
      </c>
      <c r="E110" s="14">
        <f t="shared" si="77"/>
        <v>3.0109054203260208</v>
      </c>
      <c r="F110" s="14">
        <f t="shared" si="78"/>
        <v>5.8365701786364745</v>
      </c>
      <c r="G110" s="14">
        <f t="shared" si="102"/>
        <v>3.2590753201794165</v>
      </c>
      <c r="H110" s="14">
        <f t="shared" si="103"/>
        <v>4.8418983371758273</v>
      </c>
      <c r="I110" s="14">
        <f t="shared" si="104"/>
        <v>0.98150529740625836</v>
      </c>
      <c r="J110" s="14">
        <f t="shared" si="79"/>
        <v>5.847696056311392</v>
      </c>
      <c r="K110" s="14">
        <f t="shared" si="105"/>
        <v>4.3104322312015331E-2</v>
      </c>
      <c r="L110" s="14">
        <f t="shared" si="80"/>
        <v>0.23942780066916852</v>
      </c>
      <c r="M110" s="14">
        <f t="shared" si="81"/>
        <v>1.4693446257165526</v>
      </c>
      <c r="N110" s="14">
        <f t="shared" si="82"/>
        <v>0.27772436734483763</v>
      </c>
      <c r="O110" s="14">
        <f t="shared" si="106"/>
        <v>0.83280978117610593</v>
      </c>
      <c r="P110" s="14">
        <f t="shared" si="107"/>
        <v>0.87596264520961542</v>
      </c>
      <c r="Q110" s="14">
        <f t="shared" si="108"/>
        <v>-0.67441762353320511</v>
      </c>
      <c r="R110" s="1">
        <f t="shared" si="83"/>
        <v>0.4697607860552967</v>
      </c>
      <c r="S110" s="1">
        <f t="shared" si="84"/>
        <v>-0.24103213345462293</v>
      </c>
      <c r="T110" s="1">
        <f t="shared" si="85"/>
        <v>13.96076917113025</v>
      </c>
      <c r="U110" s="1">
        <f t="shared" si="86"/>
        <v>17.973588002491962</v>
      </c>
      <c r="V110" s="1">
        <f t="shared" si="109"/>
        <v>0</v>
      </c>
      <c r="W110" s="1">
        <f t="shared" si="87"/>
        <v>13.96076917113025</v>
      </c>
      <c r="X110" s="1">
        <f t="shared" si="88"/>
        <v>8.060253839046279</v>
      </c>
      <c r="Z110" s="14">
        <f t="shared" si="110"/>
        <v>2.1632386451107366</v>
      </c>
      <c r="AA110" s="14">
        <f t="shared" si="89"/>
        <v>3.010905420326091</v>
      </c>
      <c r="AB110" s="14">
        <f t="shared" si="90"/>
        <v>5.836570178636511</v>
      </c>
      <c r="AC110" s="14">
        <f t="shared" si="111"/>
        <v>-3.2590753201793867</v>
      </c>
      <c r="AD110" s="14">
        <f t="shared" si="112"/>
        <v>4.8418983371758912</v>
      </c>
      <c r="AE110" s="14">
        <f t="shared" si="113"/>
        <v>2.1600873561835243</v>
      </c>
      <c r="AF110" s="14">
        <f t="shared" si="91"/>
        <v>5.8476960563114293</v>
      </c>
      <c r="AG110" s="14">
        <f t="shared" si="114"/>
        <v>4.3104322312015331E-2</v>
      </c>
      <c r="AH110" s="14">
        <f t="shared" si="92"/>
        <v>0.23942780066917552</v>
      </c>
      <c r="AI110" s="14">
        <f t="shared" si="93"/>
        <v>1.4693446257165306</v>
      </c>
      <c r="AJ110" s="14">
        <f t="shared" si="94"/>
        <v>-0.2777243673448424</v>
      </c>
      <c r="AK110" s="14">
        <f t="shared" si="115"/>
        <v>0.83280978117610238</v>
      </c>
      <c r="AL110" s="14">
        <f t="shared" si="116"/>
        <v>0.87596264520960365</v>
      </c>
      <c r="AM110" s="14">
        <f t="shared" si="117"/>
        <v>0.67426824256236895</v>
      </c>
      <c r="AN110" s="1">
        <f t="shared" si="95"/>
        <v>-0.46982391718152539</v>
      </c>
      <c r="AO110" s="1">
        <f t="shared" si="96"/>
        <v>-0.24089674831752389</v>
      </c>
      <c r="AP110" s="1">
        <f t="shared" si="97"/>
        <v>13.965701704881624</v>
      </c>
      <c r="AQ110" s="1">
        <f t="shared" si="98"/>
        <v>17.969449115240366</v>
      </c>
      <c r="AR110" s="1">
        <f t="shared" si="118"/>
        <v>0</v>
      </c>
      <c r="AS110" s="1">
        <f t="shared" si="99"/>
        <v>13.965701704881624</v>
      </c>
      <c r="AT110" s="1">
        <f t="shared" si="100"/>
        <v>8.0631016387354215</v>
      </c>
    </row>
    <row r="111" spans="1:46" x14ac:dyDescent="0.25">
      <c r="A111" s="14">
        <f t="shared" si="119"/>
        <v>3.0368728984701368</v>
      </c>
      <c r="B111" s="14">
        <f t="shared" si="75"/>
        <v>-4.9726094768413684</v>
      </c>
      <c r="C111" s="14">
        <f t="shared" si="76"/>
        <v>0.52264231633825109</v>
      </c>
      <c r="D111" s="14">
        <f t="shared" si="101"/>
        <v>0.98465658633347042</v>
      </c>
      <c r="E111" s="14">
        <f t="shared" si="77"/>
        <v>3.0540097426380362</v>
      </c>
      <c r="F111" s="14">
        <f t="shared" si="78"/>
        <v>5.8589227259051677</v>
      </c>
      <c r="G111" s="14">
        <f t="shared" si="102"/>
        <v>3.2408586464104023</v>
      </c>
      <c r="H111" s="14">
        <f t="shared" si="103"/>
        <v>4.8809641201421439</v>
      </c>
      <c r="I111" s="14">
        <f t="shared" si="104"/>
        <v>0.98780787526068248</v>
      </c>
      <c r="J111" s="14">
        <f t="shared" si="79"/>
        <v>5.8702509926738822</v>
      </c>
      <c r="K111" s="14">
        <f t="shared" si="105"/>
        <v>4.3437480369198145E-2</v>
      </c>
      <c r="L111" s="14">
        <f t="shared" si="80"/>
        <v>0.24372491948836889</v>
      </c>
      <c r="M111" s="14">
        <f t="shared" si="81"/>
        <v>1.4562487072554218</v>
      </c>
      <c r="N111" s="14">
        <f t="shared" si="82"/>
        <v>0.280529028160315</v>
      </c>
      <c r="O111" s="14">
        <f t="shared" si="106"/>
        <v>0.83090989142321281</v>
      </c>
      <c r="P111" s="14">
        <f t="shared" si="107"/>
        <v>0.8690637353205779</v>
      </c>
      <c r="Q111" s="14">
        <f t="shared" si="108"/>
        <v>-0.66774702594977908</v>
      </c>
      <c r="R111" s="1">
        <f t="shared" si="83"/>
        <v>0.47085801753321771</v>
      </c>
      <c r="S111" s="1">
        <f t="shared" si="84"/>
        <v>-0.23790212422578677</v>
      </c>
      <c r="T111" s="1">
        <f t="shared" si="85"/>
        <v>14.169328061648729</v>
      </c>
      <c r="U111" s="1">
        <f t="shared" si="86"/>
        <v>18.009428893537475</v>
      </c>
      <c r="V111" s="1">
        <f t="shared" si="109"/>
        <v>0</v>
      </c>
      <c r="W111" s="1">
        <f t="shared" si="87"/>
        <v>14.169328061648729</v>
      </c>
      <c r="X111" s="1">
        <f t="shared" si="88"/>
        <v>8.1806653706290113</v>
      </c>
      <c r="Z111" s="14">
        <f t="shared" si="110"/>
        <v>2.1569360672563125</v>
      </c>
      <c r="AA111" s="14">
        <f t="shared" si="89"/>
        <v>3.0540097426381063</v>
      </c>
      <c r="AB111" s="14">
        <f t="shared" si="90"/>
        <v>5.8589227259052041</v>
      </c>
      <c r="AC111" s="14">
        <f t="shared" si="111"/>
        <v>-3.2408586464103721</v>
      </c>
      <c r="AD111" s="14">
        <f t="shared" si="112"/>
        <v>4.8809641201422078</v>
      </c>
      <c r="AE111" s="14">
        <f t="shared" si="113"/>
        <v>2.1537847783291006</v>
      </c>
      <c r="AF111" s="14">
        <f t="shared" si="91"/>
        <v>5.8702509926739186</v>
      </c>
      <c r="AG111" s="14">
        <f t="shared" si="114"/>
        <v>4.3437480369199921E-2</v>
      </c>
      <c r="AH111" s="14">
        <f t="shared" si="92"/>
        <v>0.24372491948837566</v>
      </c>
      <c r="AI111" s="14">
        <f t="shared" si="93"/>
        <v>1.4562487072554011</v>
      </c>
      <c r="AJ111" s="14">
        <f t="shared" si="94"/>
        <v>-0.28052902816031927</v>
      </c>
      <c r="AK111" s="14">
        <f t="shared" si="115"/>
        <v>0.83090989142321003</v>
      </c>
      <c r="AL111" s="14">
        <f t="shared" si="116"/>
        <v>0.8690637353205668</v>
      </c>
      <c r="AM111" s="14">
        <f t="shared" si="117"/>
        <v>0.66761353071737828</v>
      </c>
      <c r="AN111" s="1">
        <f t="shared" si="95"/>
        <v>-0.47091443505628305</v>
      </c>
      <c r="AO111" s="1">
        <f t="shared" si="96"/>
        <v>-0.23778113645713433</v>
      </c>
      <c r="AP111" s="1">
        <f t="shared" si="97"/>
        <v>14.173770120908465</v>
      </c>
      <c r="AQ111" s="1">
        <f t="shared" si="98"/>
        <v>18.005701563252167</v>
      </c>
      <c r="AR111" s="1">
        <f t="shared" si="118"/>
        <v>0</v>
      </c>
      <c r="AS111" s="1">
        <f t="shared" si="99"/>
        <v>14.173770120908465</v>
      </c>
      <c r="AT111" s="1">
        <f t="shared" si="100"/>
        <v>8.183229994738376</v>
      </c>
    </row>
    <row r="112" spans="1:46" x14ac:dyDescent="0.25">
      <c r="A112" s="14">
        <f t="shared" si="119"/>
        <v>3.0717794835100234</v>
      </c>
      <c r="B112" s="14">
        <f t="shared" si="75"/>
        <v>-4.987820251299123</v>
      </c>
      <c r="C112" s="14">
        <f t="shared" si="76"/>
        <v>0.34878236872060986</v>
      </c>
      <c r="D112" s="14">
        <f t="shared" si="101"/>
        <v>0.99095916418789443</v>
      </c>
      <c r="E112" s="14">
        <f t="shared" si="77"/>
        <v>3.0974472230072343</v>
      </c>
      <c r="F112" s="14">
        <f t="shared" si="78"/>
        <v>5.8816816727289174</v>
      </c>
      <c r="G112" s="14">
        <f t="shared" si="102"/>
        <v>3.2225011739623763</v>
      </c>
      <c r="H112" s="14">
        <f t="shared" si="103"/>
        <v>4.9203318468500008</v>
      </c>
      <c r="I112" s="14">
        <f t="shared" si="104"/>
        <v>0.99411045311510637</v>
      </c>
      <c r="J112" s="14">
        <f t="shared" si="79"/>
        <v>5.8932155931996011</v>
      </c>
      <c r="K112" s="14">
        <f t="shared" si="105"/>
        <v>4.3778007323556078E-2</v>
      </c>
      <c r="L112" s="14">
        <f t="shared" si="80"/>
        <v>0.24807506175195676</v>
      </c>
      <c r="M112" s="14">
        <f t="shared" si="81"/>
        <v>1.4433655627583559</v>
      </c>
      <c r="N112" s="14">
        <f t="shared" si="82"/>
        <v>0.28320916636120652</v>
      </c>
      <c r="O112" s="14">
        <f t="shared" si="106"/>
        <v>0.8291184752187466</v>
      </c>
      <c r="P112" s="14">
        <f t="shared" si="107"/>
        <v>0.86232214929156581</v>
      </c>
      <c r="Q112" s="14">
        <f t="shared" si="108"/>
        <v>-0.66114420239994409</v>
      </c>
      <c r="R112" s="1">
        <f t="shared" si="83"/>
        <v>0.47202491688849813</v>
      </c>
      <c r="S112" s="1">
        <f t="shared" si="84"/>
        <v>-0.23476705119509889</v>
      </c>
      <c r="T112" s="1">
        <f t="shared" si="85"/>
        <v>14.384709626616804</v>
      </c>
      <c r="U112" s="1">
        <f t="shared" si="86"/>
        <v>18.047814328150256</v>
      </c>
      <c r="V112" s="1">
        <f t="shared" si="109"/>
        <v>0</v>
      </c>
      <c r="W112" s="1">
        <f t="shared" si="87"/>
        <v>14.384709626616804</v>
      </c>
      <c r="X112" s="1">
        <f t="shared" si="88"/>
        <v>8.3050159751418118</v>
      </c>
      <c r="Z112" s="14">
        <f t="shared" si="110"/>
        <v>2.1506334894018884</v>
      </c>
      <c r="AA112" s="14">
        <f t="shared" si="89"/>
        <v>3.0974472230073062</v>
      </c>
      <c r="AB112" s="14">
        <f t="shared" si="90"/>
        <v>5.8816816727289547</v>
      </c>
      <c r="AC112" s="14">
        <f t="shared" si="111"/>
        <v>-3.2225011739623453</v>
      </c>
      <c r="AD112" s="14">
        <f t="shared" si="112"/>
        <v>4.9203318468500665</v>
      </c>
      <c r="AE112" s="14">
        <f t="shared" si="113"/>
        <v>2.1474822004746761</v>
      </c>
      <c r="AF112" s="14">
        <f t="shared" si="91"/>
        <v>5.8932155931996393</v>
      </c>
      <c r="AG112" s="14">
        <f t="shared" si="114"/>
        <v>4.3778007323556523E-2</v>
      </c>
      <c r="AH112" s="14">
        <f t="shared" si="92"/>
        <v>0.24807506175196373</v>
      </c>
      <c r="AI112" s="14">
        <f t="shared" si="93"/>
        <v>1.4433655627583342</v>
      </c>
      <c r="AJ112" s="14">
        <f t="shared" si="94"/>
        <v>-0.28320916636121063</v>
      </c>
      <c r="AK112" s="14">
        <f t="shared" si="115"/>
        <v>0.82911847521874393</v>
      </c>
      <c r="AL112" s="14">
        <f t="shared" si="116"/>
        <v>0.86232214929155393</v>
      </c>
      <c r="AM112" s="14">
        <f t="shared" si="117"/>
        <v>0.66102643761947844</v>
      </c>
      <c r="AN112" s="1">
        <f t="shared" si="95"/>
        <v>-0.47207468643531042</v>
      </c>
      <c r="AO112" s="1">
        <f t="shared" si="96"/>
        <v>-0.23466032005752918</v>
      </c>
      <c r="AP112" s="1">
        <f t="shared" si="97"/>
        <v>14.388658974428598</v>
      </c>
      <c r="AQ112" s="1">
        <f t="shared" si="98"/>
        <v>18.044500431858289</v>
      </c>
      <c r="AR112" s="1">
        <f t="shared" si="118"/>
        <v>0</v>
      </c>
      <c r="AS112" s="1">
        <f t="shared" si="99"/>
        <v>14.388658974428598</v>
      </c>
      <c r="AT112" s="1">
        <f t="shared" si="100"/>
        <v>8.3072961321640744</v>
      </c>
    </row>
    <row r="113" spans="1:46" x14ac:dyDescent="0.25">
      <c r="A113" s="14">
        <f t="shared" si="119"/>
        <v>3.10668606854991</v>
      </c>
      <c r="B113" s="14">
        <f t="shared" si="75"/>
        <v>-4.9969541350954794</v>
      </c>
      <c r="C113" s="14">
        <f t="shared" si="76"/>
        <v>0.17449748351248795</v>
      </c>
      <c r="D113" s="14">
        <f t="shared" si="101"/>
        <v>0.99726174204231843</v>
      </c>
      <c r="E113" s="14">
        <f t="shared" si="77"/>
        <v>3.1412252303307904</v>
      </c>
      <c r="F113" s="14">
        <f t="shared" si="78"/>
        <v>5.904853592398946</v>
      </c>
      <c r="G113" s="14">
        <f t="shared" si="102"/>
        <v>3.2039997886048237</v>
      </c>
      <c r="H113" s="14">
        <f t="shared" si="103"/>
        <v>4.9600081957882871</v>
      </c>
      <c r="I113" s="14">
        <f t="shared" si="104"/>
        <v>1.0004130309695305</v>
      </c>
      <c r="J113" s="14">
        <f t="shared" si="79"/>
        <v>5.916596519992563</v>
      </c>
      <c r="K113" s="14">
        <f t="shared" si="105"/>
        <v>4.4126073706695301E-2</v>
      </c>
      <c r="L113" s="14">
        <f t="shared" si="80"/>
        <v>0.2524803387467065</v>
      </c>
      <c r="M113" s="14">
        <f t="shared" si="81"/>
        <v>1.4306946486859768</v>
      </c>
      <c r="N113" s="14">
        <f t="shared" si="82"/>
        <v>0.28576176101115613</v>
      </c>
      <c r="O113" s="14">
        <f t="shared" si="106"/>
        <v>0.82744087754882378</v>
      </c>
      <c r="P113" s="14">
        <f t="shared" si="107"/>
        <v>0.85573410988385945</v>
      </c>
      <c r="Q113" s="14">
        <f t="shared" si="108"/>
        <v>-0.65460438231318296</v>
      </c>
      <c r="R113" s="1">
        <f t="shared" si="83"/>
        <v>0.47326834445389648</v>
      </c>
      <c r="S113" s="1">
        <f t="shared" si="84"/>
        <v>-0.23162418708741261</v>
      </c>
      <c r="T113" s="1">
        <f t="shared" si="85"/>
        <v>14.607414892682149</v>
      </c>
      <c r="U113" s="1">
        <f t="shared" si="86"/>
        <v>18.088806558472317</v>
      </c>
      <c r="V113" s="1">
        <f t="shared" si="109"/>
        <v>0</v>
      </c>
      <c r="W113" s="1">
        <f t="shared" si="87"/>
        <v>14.607414892682149</v>
      </c>
      <c r="X113" s="1">
        <f t="shared" si="88"/>
        <v>8.4335949204545866</v>
      </c>
      <c r="Z113" s="14">
        <f t="shared" si="110"/>
        <v>2.1443309115474642</v>
      </c>
      <c r="AA113" s="14">
        <f t="shared" si="89"/>
        <v>3.1412252303308628</v>
      </c>
      <c r="AB113" s="14">
        <f t="shared" si="90"/>
        <v>5.9048535923989842</v>
      </c>
      <c r="AC113" s="14">
        <f t="shared" si="111"/>
        <v>-3.2039997886047917</v>
      </c>
      <c r="AD113" s="14">
        <f t="shared" si="112"/>
        <v>4.9600081957883537</v>
      </c>
      <c r="AE113" s="14">
        <f t="shared" si="113"/>
        <v>2.1411796226202524</v>
      </c>
      <c r="AF113" s="14">
        <f t="shared" si="91"/>
        <v>5.9165965199926012</v>
      </c>
      <c r="AG113" s="14">
        <f t="shared" si="114"/>
        <v>4.4126073706697966E-2</v>
      </c>
      <c r="AH113" s="14">
        <f t="shared" si="92"/>
        <v>0.25248033874671361</v>
      </c>
      <c r="AI113" s="14">
        <f t="shared" si="93"/>
        <v>1.430694648685956</v>
      </c>
      <c r="AJ113" s="14">
        <f t="shared" si="94"/>
        <v>-0.28576176101116008</v>
      </c>
      <c r="AK113" s="14">
        <f t="shared" si="115"/>
        <v>0.8274408775488209</v>
      </c>
      <c r="AL113" s="14">
        <f t="shared" si="116"/>
        <v>0.85573410988384857</v>
      </c>
      <c r="AM113" s="14">
        <f t="shared" si="117"/>
        <v>0.65450222153947923</v>
      </c>
      <c r="AN113" s="1">
        <f t="shared" si="95"/>
        <v>-0.47331151946249456</v>
      </c>
      <c r="AO113" s="1">
        <f t="shared" si="96"/>
        <v>-0.23153159798267975</v>
      </c>
      <c r="AP113" s="1">
        <f t="shared" si="97"/>
        <v>14.61086818566444</v>
      </c>
      <c r="AQ113" s="1">
        <f t="shared" si="98"/>
        <v>18.085908901606331</v>
      </c>
      <c r="AR113" s="1">
        <f t="shared" si="118"/>
        <v>0</v>
      </c>
      <c r="AS113" s="1">
        <f t="shared" si="99"/>
        <v>14.61086818566444</v>
      </c>
      <c r="AT113" s="1">
        <f t="shared" si="100"/>
        <v>8.4355886800875037</v>
      </c>
    </row>
    <row r="114" spans="1:46" x14ac:dyDescent="0.25">
      <c r="A114" s="14">
        <f t="shared" si="119"/>
        <v>3.1415926535897967</v>
      </c>
      <c r="B114" s="14">
        <f t="shared" si="75"/>
        <v>-5</v>
      </c>
      <c r="C114" s="14">
        <f t="shared" si="76"/>
        <v>-1.7150994166548195E-14</v>
      </c>
      <c r="D114" s="14">
        <f t="shared" si="101"/>
        <v>1.0035643198967423</v>
      </c>
      <c r="E114" s="14">
        <f t="shared" si="77"/>
        <v>3.1853513040374857</v>
      </c>
      <c r="F114" s="14">
        <f t="shared" si="78"/>
        <v>5.9284452371708145</v>
      </c>
      <c r="G114" s="14">
        <f t="shared" si="102"/>
        <v>3.1853513040374577</v>
      </c>
      <c r="H114" s="14">
        <f t="shared" si="103"/>
        <v>5.0000000000000178</v>
      </c>
      <c r="I114" s="14">
        <f t="shared" si="104"/>
        <v>1.0067156088239542</v>
      </c>
      <c r="J114" s="14">
        <f t="shared" si="79"/>
        <v>5.9404006168242693</v>
      </c>
      <c r="K114" s="14">
        <f t="shared" si="105"/>
        <v>4.4481855639034951E-2</v>
      </c>
      <c r="L114" s="14">
        <f t="shared" si="80"/>
        <v>0.25694288295982809</v>
      </c>
      <c r="M114" s="14">
        <f t="shared" si="81"/>
        <v>1.4182352518725638</v>
      </c>
      <c r="N114" s="14">
        <f t="shared" si="82"/>
        <v>0.28818391548962019</v>
      </c>
      <c r="O114" s="14">
        <f t="shared" si="106"/>
        <v>0.82588200546053192</v>
      </c>
      <c r="P114" s="14">
        <f t="shared" si="107"/>
        <v>0.84929612937186005</v>
      </c>
      <c r="Q114" s="14">
        <f t="shared" si="108"/>
        <v>-0.64812260057109039</v>
      </c>
      <c r="R114" s="1">
        <f t="shared" si="83"/>
        <v>0.47459484587410922</v>
      </c>
      <c r="S114" s="1">
        <f t="shared" si="84"/>
        <v>-0.22847050595378382</v>
      </c>
      <c r="T114" s="1">
        <f t="shared" si="85"/>
        <v>14.837954768115042</v>
      </c>
      <c r="U114" s="1">
        <f t="shared" si="86"/>
        <v>18.132452297727895</v>
      </c>
      <c r="V114" s="1">
        <f t="shared" si="109"/>
        <v>0</v>
      </c>
      <c r="W114" s="1">
        <f t="shared" si="87"/>
        <v>14.837954768115042</v>
      </c>
      <c r="X114" s="1">
        <f t="shared" si="88"/>
        <v>8.5666971795947102</v>
      </c>
      <c r="Z114" s="14">
        <f t="shared" si="110"/>
        <v>2.1380283336930401</v>
      </c>
      <c r="AA114" s="14">
        <f t="shared" si="89"/>
        <v>3.1853513040375607</v>
      </c>
      <c r="AB114" s="14">
        <f t="shared" si="90"/>
        <v>5.9284452371708545</v>
      </c>
      <c r="AC114" s="14">
        <f t="shared" si="111"/>
        <v>-3.1853513040374253</v>
      </c>
      <c r="AD114" s="14">
        <f t="shared" si="112"/>
        <v>5.0000000000000862</v>
      </c>
      <c r="AE114" s="14">
        <f t="shared" si="113"/>
        <v>2.1348770447658278</v>
      </c>
      <c r="AF114" s="14">
        <f t="shared" si="91"/>
        <v>5.940400616824312</v>
      </c>
      <c r="AG114" s="14">
        <f t="shared" si="114"/>
        <v>4.4481855639036727E-2</v>
      </c>
      <c r="AH114" s="14">
        <f t="shared" si="92"/>
        <v>0.25694288295983597</v>
      </c>
      <c r="AI114" s="14">
        <f t="shared" si="93"/>
        <v>1.4182352518725421</v>
      </c>
      <c r="AJ114" s="14">
        <f t="shared" si="94"/>
        <v>-0.28818391548962441</v>
      </c>
      <c r="AK114" s="14">
        <f t="shared" si="115"/>
        <v>0.82588200546052959</v>
      </c>
      <c r="AL114" s="14">
        <f t="shared" si="116"/>
        <v>0.84929612937184862</v>
      </c>
      <c r="AM114" s="14">
        <f t="shared" si="117"/>
        <v>0.64803594391176589</v>
      </c>
      <c r="AN114" s="1">
        <f t="shared" si="95"/>
        <v>-0.47463146856083904</v>
      </c>
      <c r="AO114" s="1">
        <f t="shared" si="96"/>
        <v>-0.22839196834864428</v>
      </c>
      <c r="AP114" s="1">
        <f t="shared" si="97"/>
        <v>14.840907600569921</v>
      </c>
      <c r="AQ114" s="1">
        <f t="shared" si="98"/>
        <v>18.129974577105308</v>
      </c>
      <c r="AR114" s="1">
        <f t="shared" si="118"/>
        <v>0</v>
      </c>
      <c r="AS114" s="1">
        <f t="shared" si="99"/>
        <v>14.840907600569921</v>
      </c>
      <c r="AT114" s="1">
        <f t="shared" si="100"/>
        <v>8.5684019982074062</v>
      </c>
    </row>
    <row r="115" spans="1:46" x14ac:dyDescent="0.25">
      <c r="A115" s="14">
        <f t="shared" si="119"/>
        <v>3.1764992386296833</v>
      </c>
      <c r="B115" s="14">
        <f t="shared" si="75"/>
        <v>-4.9969541350954785</v>
      </c>
      <c r="C115" s="14">
        <f t="shared" si="76"/>
        <v>-0.17449748351252223</v>
      </c>
      <c r="D115" s="14">
        <f t="shared" si="101"/>
        <v>1.0098668977511662</v>
      </c>
      <c r="E115" s="14">
        <f t="shared" si="77"/>
        <v>3.2298331596765206</v>
      </c>
      <c r="F115" s="14">
        <f t="shared" si="78"/>
        <v>5.9524635437225504</v>
      </c>
      <c r="G115" s="14">
        <f t="shared" si="102"/>
        <v>3.1665524595282886</v>
      </c>
      <c r="H115" s="14">
        <f t="shared" si="103"/>
        <v>5.0403142521475157</v>
      </c>
      <c r="I115" s="14">
        <f t="shared" si="104"/>
        <v>1.0130181866783783</v>
      </c>
      <c r="J115" s="14">
        <f t="shared" si="79"/>
        <v>5.9646349146966235</v>
      </c>
      <c r="K115" s="14">
        <f t="shared" si="105"/>
        <v>4.4845535039428785E-2</v>
      </c>
      <c r="L115" s="14">
        <f t="shared" si="80"/>
        <v>0.26146484371126899</v>
      </c>
      <c r="M115" s="14">
        <f t="shared" si="81"/>
        <v>1.4059864936008577</v>
      </c>
      <c r="N115" s="14">
        <f t="shared" si="82"/>
        <v>0.29047286067902989</v>
      </c>
      <c r="O115" s="14">
        <f t="shared" si="106"/>
        <v>0.8244463204972805</v>
      </c>
      <c r="P115" s="14">
        <f t="shared" si="107"/>
        <v>0.84300501681484641</v>
      </c>
      <c r="Q115" s="14">
        <f t="shared" si="108"/>
        <v>-0.64169371841658518</v>
      </c>
      <c r="R115" s="1">
        <f t="shared" si="83"/>
        <v>0.47601063641325581</v>
      </c>
      <c r="S115" s="1">
        <f t="shared" si="84"/>
        <v>-0.225302699048475</v>
      </c>
      <c r="T115" s="1">
        <f t="shared" si="85"/>
        <v>15.076849650895962</v>
      </c>
      <c r="U115" s="1">
        <f t="shared" si="86"/>
        <v>18.178782431643761</v>
      </c>
      <c r="V115" s="1">
        <f t="shared" si="109"/>
        <v>0</v>
      </c>
      <c r="W115" s="1">
        <f t="shared" si="87"/>
        <v>15.076849650895962</v>
      </c>
      <c r="X115" s="1">
        <f t="shared" si="88"/>
        <v>8.7046232044762988</v>
      </c>
      <c r="Z115" s="14">
        <f t="shared" si="110"/>
        <v>2.131725755838616</v>
      </c>
      <c r="AA115" s="14">
        <f t="shared" si="89"/>
        <v>3.2298331596765975</v>
      </c>
      <c r="AB115" s="14">
        <f t="shared" si="90"/>
        <v>5.9524635437225912</v>
      </c>
      <c r="AC115" s="14">
        <f t="shared" si="111"/>
        <v>-3.1665524595282548</v>
      </c>
      <c r="AD115" s="14">
        <f t="shared" si="112"/>
        <v>5.040314252147585</v>
      </c>
      <c r="AE115" s="14">
        <f t="shared" si="113"/>
        <v>2.1285744669114042</v>
      </c>
      <c r="AF115" s="14">
        <f t="shared" si="91"/>
        <v>5.9646349146966653</v>
      </c>
      <c r="AG115" s="14">
        <f t="shared" si="114"/>
        <v>4.484553503943145E-2</v>
      </c>
      <c r="AH115" s="14">
        <f t="shared" si="92"/>
        <v>0.26146484371127665</v>
      </c>
      <c r="AI115" s="14">
        <f t="shared" si="93"/>
        <v>1.4059864936008371</v>
      </c>
      <c r="AJ115" s="14">
        <f t="shared" si="94"/>
        <v>-0.29047286067903361</v>
      </c>
      <c r="AK115" s="14">
        <f t="shared" si="115"/>
        <v>0.82444632049727828</v>
      </c>
      <c r="AL115" s="14">
        <f t="shared" si="116"/>
        <v>0.84300501681483553</v>
      </c>
      <c r="AM115" s="14">
        <f t="shared" si="117"/>
        <v>0.64162249019634976</v>
      </c>
      <c r="AN115" s="1">
        <f t="shared" si="95"/>
        <v>-0.47604073875987657</v>
      </c>
      <c r="AO115" s="1">
        <f t="shared" si="96"/>
        <v>-0.22523814435782341</v>
      </c>
      <c r="AP115" s="1">
        <f t="shared" si="97"/>
        <v>15.079296601877019</v>
      </c>
      <c r="AQ115" s="1">
        <f t="shared" si="98"/>
        <v>18.176729195979885</v>
      </c>
      <c r="AR115" s="1">
        <f t="shared" si="118"/>
        <v>0</v>
      </c>
      <c r="AS115" s="1">
        <f t="shared" si="99"/>
        <v>15.079296601877019</v>
      </c>
      <c r="AT115" s="1">
        <f t="shared" si="100"/>
        <v>8.706035952283905</v>
      </c>
    </row>
    <row r="116" spans="1:46" x14ac:dyDescent="0.25">
      <c r="A116" s="14">
        <f t="shared" si="119"/>
        <v>3.2114058236695699</v>
      </c>
      <c r="B116" s="14">
        <f t="shared" si="75"/>
        <v>-4.9878202512991194</v>
      </c>
      <c r="C116" s="14">
        <f t="shared" si="76"/>
        <v>-0.34878236872064405</v>
      </c>
      <c r="D116" s="14">
        <f t="shared" si="101"/>
        <v>1.0161694756055901</v>
      </c>
      <c r="E116" s="14">
        <f t="shared" si="77"/>
        <v>3.2746786947159494</v>
      </c>
      <c r="F116" s="14">
        <f t="shared" si="78"/>
        <v>5.9769156388246403</v>
      </c>
      <c r="G116" s="14">
        <f t="shared" si="102"/>
        <v>3.1475999174630935</v>
      </c>
      <c r="H116" s="14">
        <f t="shared" si="103"/>
        <v>5.0809581097675744</v>
      </c>
      <c r="I116" s="14">
        <f t="shared" si="104"/>
        <v>1.019320764532802</v>
      </c>
      <c r="J116" s="14">
        <f t="shared" si="79"/>
        <v>5.9893066376213717</v>
      </c>
      <c r="K116" s="14">
        <f t="shared" si="105"/>
        <v>4.5217299844302339E-2</v>
      </c>
      <c r="L116" s="14">
        <f t="shared" si="80"/>
        <v>0.2660483827252117</v>
      </c>
      <c r="M116" s="14">
        <f t="shared" si="81"/>
        <v>1.393947333828685</v>
      </c>
      <c r="N116" s="14">
        <f t="shared" si="82"/>
        <v>0.29262595797875424</v>
      </c>
      <c r="O116" s="14">
        <f t="shared" si="106"/>
        <v>0.82313783228465143</v>
      </c>
      <c r="P116" s="14">
        <f t="shared" si="107"/>
        <v>0.8368578842692449</v>
      </c>
      <c r="Q116" s="14">
        <f t="shared" si="108"/>
        <v>-0.63531244462976444</v>
      </c>
      <c r="R116" s="1">
        <f t="shared" si="83"/>
        <v>0.47752158619238216</v>
      </c>
      <c r="S116" s="1">
        <f t="shared" si="84"/>
        <v>-0.22211719139537828</v>
      </c>
      <c r="T116" s="1">
        <f t="shared" si="85"/>
        <v>15.324629035492892</v>
      </c>
      <c r="U116" s="1">
        <f t="shared" si="86"/>
        <v>18.227811748937473</v>
      </c>
      <c r="V116" s="1">
        <f t="shared" si="109"/>
        <v>0</v>
      </c>
      <c r="W116" s="1">
        <f t="shared" si="87"/>
        <v>15.324629035492892</v>
      </c>
      <c r="X116" s="1">
        <f t="shared" si="88"/>
        <v>8.8476786988729756</v>
      </c>
      <c r="Z116" s="14">
        <f t="shared" si="110"/>
        <v>2.1254231779841919</v>
      </c>
      <c r="AA116" s="14">
        <f t="shared" si="89"/>
        <v>3.2746786947160289</v>
      </c>
      <c r="AB116" s="14">
        <f t="shared" si="90"/>
        <v>5.9769156388246838</v>
      </c>
      <c r="AC116" s="14">
        <f t="shared" si="111"/>
        <v>-3.1475999174630593</v>
      </c>
      <c r="AD116" s="14">
        <f t="shared" si="112"/>
        <v>5.0809581097676473</v>
      </c>
      <c r="AE116" s="14">
        <f t="shared" si="113"/>
        <v>2.1222718890569796</v>
      </c>
      <c r="AF116" s="14">
        <f t="shared" si="91"/>
        <v>5.989306637621417</v>
      </c>
      <c r="AG116" s="14">
        <f t="shared" si="114"/>
        <v>4.5217299844304115E-2</v>
      </c>
      <c r="AH116" s="14">
        <f t="shared" si="92"/>
        <v>0.26604838272522008</v>
      </c>
      <c r="AI116" s="14">
        <f t="shared" si="93"/>
        <v>1.3939473338286632</v>
      </c>
      <c r="AJ116" s="14">
        <f t="shared" si="94"/>
        <v>-0.29262595797875807</v>
      </c>
      <c r="AK116" s="14">
        <f t="shared" si="115"/>
        <v>0.82313783228464965</v>
      </c>
      <c r="AL116" s="14">
        <f t="shared" si="116"/>
        <v>0.8368578842692338</v>
      </c>
      <c r="AM116" s="14">
        <f t="shared" si="117"/>
        <v>0.63525659101450471</v>
      </c>
      <c r="AN116" s="1">
        <f t="shared" si="95"/>
        <v>-0.4775451909501735</v>
      </c>
      <c r="AO116" s="1">
        <f t="shared" si="96"/>
        <v>-0.22206657082893894</v>
      </c>
      <c r="AP116" s="1">
        <f t="shared" si="97"/>
        <v>15.326563718782776</v>
      </c>
      <c r="AQ116" s="1">
        <f t="shared" si="98"/>
        <v>18.226188356903737</v>
      </c>
      <c r="AR116" s="1">
        <f t="shared" si="118"/>
        <v>0</v>
      </c>
      <c r="AS116" s="1">
        <f t="shared" si="99"/>
        <v>15.326563718782776</v>
      </c>
      <c r="AT116" s="1">
        <f t="shared" si="100"/>
        <v>8.8487956887911867</v>
      </c>
    </row>
    <row r="117" spans="1:46" x14ac:dyDescent="0.25">
      <c r="A117" s="14">
        <f t="shared" si="119"/>
        <v>3.2463124087094566</v>
      </c>
      <c r="B117" s="14">
        <f t="shared" si="75"/>
        <v>-4.9726094768413649</v>
      </c>
      <c r="C117" s="14">
        <f t="shared" si="76"/>
        <v>-0.52264231633828517</v>
      </c>
      <c r="D117" s="14">
        <f t="shared" si="101"/>
        <v>1.022472053460014</v>
      </c>
      <c r="E117" s="14">
        <f t="shared" si="77"/>
        <v>3.3198959945602518</v>
      </c>
      <c r="F117" s="14">
        <f t="shared" si="78"/>
        <v>6.0018088452313441</v>
      </c>
      <c r="G117" s="14">
        <f t="shared" si="102"/>
        <v>3.1284902608022858</v>
      </c>
      <c r="H117" s="14">
        <f t="shared" si="103"/>
        <v>5.1219389007252367</v>
      </c>
      <c r="I117" s="14">
        <f t="shared" si="104"/>
        <v>1.0256233423872261</v>
      </c>
      <c r="J117" s="14">
        <f t="shared" si="79"/>
        <v>6.0144232086257494</v>
      </c>
      <c r="K117" s="14">
        <f t="shared" si="105"/>
        <v>4.5597344236697257E-2</v>
      </c>
      <c r="L117" s="14">
        <f t="shared" si="80"/>
        <v>0.27069566964731739</v>
      </c>
      <c r="M117" s="14">
        <f t="shared" si="81"/>
        <v>1.3821165755608626</v>
      </c>
      <c r="N117" s="14">
        <f t="shared" si="82"/>
        <v>0.29464070214224036</v>
      </c>
      <c r="O117" s="14">
        <f t="shared" si="106"/>
        <v>0.82196009327572384</v>
      </c>
      <c r="P117" s="14">
        <f t="shared" si="107"/>
        <v>0.83085215193245632</v>
      </c>
      <c r="Q117" s="14">
        <f t="shared" si="108"/>
        <v>-0.62897335691387213</v>
      </c>
      <c r="R117" s="1">
        <f t="shared" si="83"/>
        <v>0.47913320638900642</v>
      </c>
      <c r="S117" s="1">
        <f t="shared" si="84"/>
        <v>-0.2189101589964102</v>
      </c>
      <c r="T117" s="1">
        <f t="shared" si="85"/>
        <v>15.581831119526184</v>
      </c>
      <c r="U117" s="1">
        <f t="shared" si="86"/>
        <v>18.279538691054842</v>
      </c>
      <c r="V117" s="1">
        <f t="shared" si="109"/>
        <v>0</v>
      </c>
      <c r="W117" s="1">
        <f t="shared" si="87"/>
        <v>15.581831119526184</v>
      </c>
      <c r="X117" s="1">
        <f t="shared" si="88"/>
        <v>8.996174391325729</v>
      </c>
      <c r="Z117" s="14">
        <f t="shared" si="110"/>
        <v>2.1191206001297678</v>
      </c>
      <c r="AA117" s="14">
        <f t="shared" si="89"/>
        <v>3.319895994560333</v>
      </c>
      <c r="AB117" s="14">
        <f t="shared" si="90"/>
        <v>6.0018088452313894</v>
      </c>
      <c r="AC117" s="14">
        <f t="shared" si="111"/>
        <v>-3.1284902608022511</v>
      </c>
      <c r="AD117" s="14">
        <f t="shared" si="112"/>
        <v>5.1219389007253113</v>
      </c>
      <c r="AE117" s="14">
        <f t="shared" si="113"/>
        <v>2.1159693112025559</v>
      </c>
      <c r="AF117" s="14">
        <f t="shared" si="91"/>
        <v>6.0144232086257938</v>
      </c>
      <c r="AG117" s="14">
        <f t="shared" si="114"/>
        <v>4.5597344236699922E-2</v>
      </c>
      <c r="AH117" s="14">
        <f t="shared" si="92"/>
        <v>0.27069566964732567</v>
      </c>
      <c r="AI117" s="14">
        <f t="shared" si="93"/>
        <v>1.3821165755608418</v>
      </c>
      <c r="AJ117" s="14">
        <f t="shared" si="94"/>
        <v>-0.29464070214224386</v>
      </c>
      <c r="AK117" s="14">
        <f t="shared" si="115"/>
        <v>0.82196009327572173</v>
      </c>
      <c r="AL117" s="14">
        <f t="shared" si="116"/>
        <v>0.83085215193244588</v>
      </c>
      <c r="AM117" s="14">
        <f t="shared" si="117"/>
        <v>0.62893284350155176</v>
      </c>
      <c r="AN117" s="1">
        <f t="shared" si="95"/>
        <v>-0.47915032809689651</v>
      </c>
      <c r="AO117" s="1">
        <f t="shared" si="96"/>
        <v>-0.2188734413753492</v>
      </c>
      <c r="AP117" s="1">
        <f t="shared" si="97"/>
        <v>15.583246236496835</v>
      </c>
      <c r="AQ117" s="1">
        <f t="shared" si="98"/>
        <v>18.278351266928535</v>
      </c>
      <c r="AR117" s="1">
        <f t="shared" si="118"/>
        <v>0</v>
      </c>
      <c r="AS117" s="1">
        <f t="shared" si="99"/>
        <v>15.583246236496835</v>
      </c>
      <c r="AT117" s="1">
        <f t="shared" si="100"/>
        <v>8.9969914094896701</v>
      </c>
    </row>
    <row r="118" spans="1:46" x14ac:dyDescent="0.25">
      <c r="A118" s="14">
        <f t="shared" si="119"/>
        <v>3.2812189937493432</v>
      </c>
      <c r="B118" s="14">
        <f t="shared" si="75"/>
        <v>-4.9513403437078489</v>
      </c>
      <c r="C118" s="14">
        <f t="shared" si="76"/>
        <v>-0.69586550480034504</v>
      </c>
      <c r="D118" s="14">
        <f t="shared" si="101"/>
        <v>1.0287746313144379</v>
      </c>
      <c r="E118" s="14">
        <f t="shared" si="77"/>
        <v>3.365493338796949</v>
      </c>
      <c r="F118" s="14">
        <f t="shared" si="78"/>
        <v>6.0271506878032044</v>
      </c>
      <c r="G118" s="14">
        <f t="shared" si="102"/>
        <v>3.1092199904409812</v>
      </c>
      <c r="H118" s="14">
        <f t="shared" si="103"/>
        <v>5.163264128875146</v>
      </c>
      <c r="I118" s="14">
        <f t="shared" si="104"/>
        <v>1.0319259202416498</v>
      </c>
      <c r="J118" s="14">
        <f t="shared" si="79"/>
        <v>6.039992255994469</v>
      </c>
      <c r="K118" s="14">
        <f t="shared" si="105"/>
        <v>4.5985868885820569E-2</v>
      </c>
      <c r="L118" s="14">
        <f t="shared" si="80"/>
        <v>0.27540887751435184</v>
      </c>
      <c r="M118" s="14">
        <f t="shared" si="81"/>
        <v>1.370492869359738</v>
      </c>
      <c r="N118" s="14">
        <f t="shared" si="82"/>
        <v>0.29651472393394324</v>
      </c>
      <c r="O118" s="14">
        <f t="shared" si="106"/>
        <v>0.8209161946619643</v>
      </c>
      <c r="P118" s="14">
        <f t="shared" si="107"/>
        <v>0.82498555221212522</v>
      </c>
      <c r="Q118" s="14">
        <f t="shared" si="108"/>
        <v>-0.62267092343461106</v>
      </c>
      <c r="R118" s="1">
        <f t="shared" si="83"/>
        <v>0.48085063642822107</v>
      </c>
      <c r="S118" s="1">
        <f t="shared" si="84"/>
        <v>-0.21567754663301031</v>
      </c>
      <c r="T118" s="1">
        <f t="shared" si="85"/>
        <v>15.849002411613785</v>
      </c>
      <c r="U118" s="1">
        <f t="shared" si="86"/>
        <v>18.333945121371329</v>
      </c>
      <c r="V118" s="1">
        <f t="shared" si="109"/>
        <v>0</v>
      </c>
      <c r="W118" s="1">
        <f t="shared" si="87"/>
        <v>15.849002411613785</v>
      </c>
      <c r="X118" s="1">
        <f t="shared" si="88"/>
        <v>9.1504258087322459</v>
      </c>
      <c r="Z118" s="14">
        <f t="shared" si="110"/>
        <v>2.1128180222753437</v>
      </c>
      <c r="AA118" s="14">
        <f t="shared" si="89"/>
        <v>3.3654933387970329</v>
      </c>
      <c r="AB118" s="14">
        <f t="shared" si="90"/>
        <v>6.0271506878032515</v>
      </c>
      <c r="AC118" s="14">
        <f t="shared" si="111"/>
        <v>-3.1092199904409452</v>
      </c>
      <c r="AD118" s="14">
        <f t="shared" si="112"/>
        <v>5.1632641288752232</v>
      </c>
      <c r="AE118" s="14">
        <f t="shared" si="113"/>
        <v>2.1096667333481314</v>
      </c>
      <c r="AF118" s="14">
        <f t="shared" si="91"/>
        <v>6.0399922559945187</v>
      </c>
      <c r="AG118" s="14">
        <f t="shared" si="114"/>
        <v>4.5985868885822345E-2</v>
      </c>
      <c r="AH118" s="14">
        <f t="shared" si="92"/>
        <v>0.27540887751436094</v>
      </c>
      <c r="AI118" s="14">
        <f t="shared" si="93"/>
        <v>1.3704928693597158</v>
      </c>
      <c r="AJ118" s="14">
        <f t="shared" si="94"/>
        <v>-0.29651472393394668</v>
      </c>
      <c r="AK118" s="14">
        <f t="shared" si="115"/>
        <v>0.82091619466196275</v>
      </c>
      <c r="AL118" s="14">
        <f t="shared" si="116"/>
        <v>0.82498555221211423</v>
      </c>
      <c r="AM118" s="14">
        <f t="shared" si="117"/>
        <v>0.62264573282002489</v>
      </c>
      <c r="AN118" s="1">
        <f t="shared" si="95"/>
        <v>-0.4808612824419683</v>
      </c>
      <c r="AO118" s="1">
        <f t="shared" si="96"/>
        <v>-0.21565471618285514</v>
      </c>
      <c r="AP118" s="1">
        <f t="shared" si="97"/>
        <v>15.849889806919139</v>
      </c>
      <c r="AQ118" s="1">
        <f t="shared" si="98"/>
        <v>18.333200508299168</v>
      </c>
      <c r="AR118" s="1">
        <f t="shared" si="118"/>
        <v>0</v>
      </c>
      <c r="AS118" s="1">
        <f t="shared" si="99"/>
        <v>15.849889806919139</v>
      </c>
      <c r="AT118" s="1">
        <f t="shared" si="100"/>
        <v>9.1509381466506703</v>
      </c>
    </row>
    <row r="119" spans="1:46" x14ac:dyDescent="0.25">
      <c r="A119" s="14">
        <f t="shared" si="119"/>
        <v>3.3161255787892299</v>
      </c>
      <c r="B119" s="14">
        <f t="shared" si="75"/>
        <v>-4.9240387650610371</v>
      </c>
      <c r="C119" s="14">
        <f t="shared" si="76"/>
        <v>-0.86824088833466984</v>
      </c>
      <c r="D119" s="14">
        <f t="shared" si="101"/>
        <v>1.0350772091688618</v>
      </c>
      <c r="E119" s="14">
        <f t="shared" si="77"/>
        <v>3.4114792076827696</v>
      </c>
      <c r="F119" s="14">
        <f t="shared" si="78"/>
        <v>6.0529488998711907</v>
      </c>
      <c r="G119" s="14">
        <f t="shared" si="102"/>
        <v>3.0897855224678192</v>
      </c>
      <c r="H119" s="14">
        <f t="shared" si="103"/>
        <v>5.204941479940012</v>
      </c>
      <c r="I119" s="14">
        <f t="shared" si="104"/>
        <v>1.0382284980960739</v>
      </c>
      <c r="J119" s="14">
        <f t="shared" si="79"/>
        <v>6.0660216197587689</v>
      </c>
      <c r="K119" s="14">
        <f t="shared" si="105"/>
        <v>4.638308119757939E-2</v>
      </c>
      <c r="L119" s="14">
        <f t="shared" si="80"/>
        <v>0.28019017818293435</v>
      </c>
      <c r="M119" s="14">
        <f t="shared" si="81"/>
        <v>1.3590747179875249</v>
      </c>
      <c r="N119" s="14">
        <f t="shared" si="82"/>
        <v>0.2982457926029321</v>
      </c>
      <c r="O119" s="14">
        <f t="shared" si="106"/>
        <v>0.82000876345289941</v>
      </c>
      <c r="P119" s="14">
        <f t="shared" si="107"/>
        <v>0.81925613271755959</v>
      </c>
      <c r="Q119" s="14">
        <f t="shared" si="108"/>
        <v>-0.61639952445588087</v>
      </c>
      <c r="R119" s="1">
        <f t="shared" si="83"/>
        <v>0.48267863219231888</v>
      </c>
      <c r="S119" s="1">
        <f t="shared" si="84"/>
        <v>-0.21241508621055</v>
      </c>
      <c r="T119" s="1">
        <f t="shared" si="85"/>
        <v>16.126697341678273</v>
      </c>
      <c r="U119" s="1">
        <f t="shared" si="86"/>
        <v>18.390996113971561</v>
      </c>
      <c r="V119" s="1">
        <f t="shared" si="109"/>
        <v>0</v>
      </c>
      <c r="W119" s="1">
        <f t="shared" si="87"/>
        <v>16.126697341678273</v>
      </c>
      <c r="X119" s="1">
        <f t="shared" si="88"/>
        <v>9.3107530513575725</v>
      </c>
      <c r="Z119" s="14">
        <f t="shared" si="110"/>
        <v>2.1065154444209195</v>
      </c>
      <c r="AA119" s="14">
        <f t="shared" si="89"/>
        <v>3.4114792076828553</v>
      </c>
      <c r="AB119" s="14">
        <f t="shared" si="90"/>
        <v>6.0529488998712395</v>
      </c>
      <c r="AC119" s="14">
        <f t="shared" si="111"/>
        <v>-3.0897855224677824</v>
      </c>
      <c r="AD119" s="14">
        <f t="shared" si="112"/>
        <v>5.204941479940091</v>
      </c>
      <c r="AE119" s="14">
        <f t="shared" si="113"/>
        <v>2.1033641554937077</v>
      </c>
      <c r="AF119" s="14">
        <f t="shared" si="91"/>
        <v>6.0660216197588177</v>
      </c>
      <c r="AG119" s="14">
        <f t="shared" si="114"/>
        <v>4.6383081197582499E-2</v>
      </c>
      <c r="AH119" s="14">
        <f t="shared" si="92"/>
        <v>0.28019017818294312</v>
      </c>
      <c r="AI119" s="14">
        <f t="shared" si="93"/>
        <v>1.3590747179875042</v>
      </c>
      <c r="AJ119" s="14">
        <f t="shared" si="94"/>
        <v>-0.29824579260293521</v>
      </c>
      <c r="AK119" s="14">
        <f t="shared" si="115"/>
        <v>0.82000876345289808</v>
      </c>
      <c r="AL119" s="14">
        <f t="shared" si="116"/>
        <v>0.81925613271754916</v>
      </c>
      <c r="AM119" s="14">
        <f t="shared" si="117"/>
        <v>0.61638965377635824</v>
      </c>
      <c r="AN119" s="1">
        <f t="shared" si="95"/>
        <v>-0.48268280372173966</v>
      </c>
      <c r="AO119" s="1">
        <f t="shared" si="96"/>
        <v>-0.21240614033683969</v>
      </c>
      <c r="AP119" s="1">
        <f t="shared" si="97"/>
        <v>16.127048061744528</v>
      </c>
      <c r="AQ119" s="1">
        <f t="shared" si="98"/>
        <v>18.390701824895508</v>
      </c>
      <c r="AR119" s="1">
        <f t="shared" si="118"/>
        <v>0</v>
      </c>
      <c r="AS119" s="1">
        <f t="shared" si="99"/>
        <v>16.127048061744528</v>
      </c>
      <c r="AT119" s="1">
        <f t="shared" si="100"/>
        <v>9.3109555396822348</v>
      </c>
    </row>
    <row r="120" spans="1:46" x14ac:dyDescent="0.25">
      <c r="A120" s="14">
        <f t="shared" si="119"/>
        <v>3.3510321638291165</v>
      </c>
      <c r="B120" s="14">
        <f t="shared" ref="B120:B151" si="120">R_*COS(A120)</f>
        <v>-4.8907380036690249</v>
      </c>
      <c r="C120" s="14">
        <f t="shared" ref="C120:C151" si="121">R_*SIN(A120)</f>
        <v>-1.039558454088815</v>
      </c>
      <c r="D120" s="14">
        <f t="shared" si="101"/>
        <v>1.0413797870232857</v>
      </c>
      <c r="E120" s="14">
        <f t="shared" ref="E120:E151" si="122">R_*SIN(D120-θ1+θ0)/COS(α1-D120-θ0)</f>
        <v>3.457862288880349</v>
      </c>
      <c r="F120" s="14">
        <f t="shared" ref="F120:F151" si="123">R_*SIN(PI()/2-α1+θ1)/SIN(PI()/2+α1-D120-θ0)</f>
        <v>6.0792114298534514</v>
      </c>
      <c r="G120" s="14">
        <f t="shared" si="102"/>
        <v>3.0701831853179211</v>
      </c>
      <c r="H120" s="14">
        <f t="shared" si="103"/>
        <v>5.2469788276161307</v>
      </c>
      <c r="I120" s="14">
        <f t="shared" si="104"/>
        <v>1.0445310759504975</v>
      </c>
      <c r="J120" s="14">
        <f t="shared" ref="J120:J151" si="124">R_*SIN(PI()/2-α1+θ1)/SIN(PI()/2+α1-I120)</f>
        <v>6.0925193584437398</v>
      </c>
      <c r="K120" s="14">
        <f t="shared" si="105"/>
        <v>4.6789195576721454E-2</v>
      </c>
      <c r="L120" s="14">
        <f t="shared" ref="L120:L151" si="125">p/2*(1+k)*(1-(R_/J120)^2)-p/2*(1-k)*(1-4*(R_/J120)^2+3*(R_/J120)^4)*COS(2*I120)</f>
        <v>0.28504173772420865</v>
      </c>
      <c r="M120" s="14">
        <f t="shared" ref="M120:M151" si="126">p/2*(1+k)*(1+(R_/J120)^2)+p/2*(1-k)*(1+3*(R_/J120)^4)*COS(2*I120)</f>
        <v>1.3478604811735144</v>
      </c>
      <c r="N120" s="14">
        <f t="shared" ref="N120:N151" si="127">p/2*(1-k)*(1+2*(R_/J120)^2-3*(R_/J120)^4)*SIN(2*I120)</f>
        <v>0.29983181817030713</v>
      </c>
      <c r="O120" s="14">
        <f t="shared" si="106"/>
        <v>0.8192399607248797</v>
      </c>
      <c r="P120" s="14">
        <f t="shared" si="107"/>
        <v>0.81366225817284321</v>
      </c>
      <c r="Q120" s="14">
        <f t="shared" si="108"/>
        <v>-0.61015347401507325</v>
      </c>
      <c r="R120" s="1">
        <f t="shared" ref="R120:R151" si="128">nx1_*O120+ny1_*Q120</f>
        <v>0.4846215552732584</v>
      </c>
      <c r="S120" s="1">
        <f t="shared" ref="S120:S151" si="129">nx1_*Q120+ny1_*P120</f>
        <v>-0.20911831559430599</v>
      </c>
      <c r="T120" s="1">
        <f t="shared" ref="T120:T151" si="130">(R120*nx1_+S120*ny1_)*K120*1000</f>
        <v>16.415477875068838</v>
      </c>
      <c r="U120" s="1">
        <f t="shared" ref="U120:U151" si="131">(R120*mx1_+S120*my1_)*K120*1000</f>
        <v>18.45063976212402</v>
      </c>
      <c r="V120" s="1">
        <f t="shared" si="109"/>
        <v>0</v>
      </c>
      <c r="W120" s="1">
        <f t="shared" ref="W120:W151" si="132">IF(-T120&gt;=σt*K120,0,T120)</f>
        <v>16.415477875068838</v>
      </c>
      <c r="X120" s="1">
        <f t="shared" ref="X120:X151" si="133">IF(-T120&gt;=σt*K120,0,SIGN(U120)*IF(T120&lt;0,MIN(ABS(U120),c_*K120),MIN(ABS(U120),c_*K120+T120*TAN(φ))))</f>
        <v>9.477480570047339</v>
      </c>
      <c r="Z120" s="14">
        <f t="shared" si="110"/>
        <v>2.1002128665664954</v>
      </c>
      <c r="AA120" s="14">
        <f t="shared" ref="AA120:AA151" si="134">R_*SIN(PI()-Z120-θ2-θ0)/COS(α2-PI()+Z120+θ0)</f>
        <v>3.4578622888804378</v>
      </c>
      <c r="AB120" s="14">
        <f t="shared" ref="AB120:AB151" si="135">R_*SIN(PI()/2-α2+θ2)/SIN(PI()/2+α2-PI()+Z120+θ0)</f>
        <v>6.079211429853502</v>
      </c>
      <c r="AC120" s="14">
        <f t="shared" si="111"/>
        <v>-3.0701831853178825</v>
      </c>
      <c r="AD120" s="14">
        <f t="shared" si="112"/>
        <v>5.2469788276162124</v>
      </c>
      <c r="AE120" s="14">
        <f t="shared" si="113"/>
        <v>2.0970615776392831</v>
      </c>
      <c r="AF120" s="14">
        <f t="shared" ref="AF120:AF151" si="136">R_*SIN(PI()/2-α2+θ2)/SIN(PI()/2+α2-PI()+AE120)</f>
        <v>6.0925193584437922</v>
      </c>
      <c r="AG120" s="14">
        <f t="shared" si="114"/>
        <v>4.6789195576723674E-2</v>
      </c>
      <c r="AH120" s="14">
        <f t="shared" ref="AH120:AH151" si="137">p/2*(1+k)*(1-(R_/AF120)^2)-p/2*(1-k)*(1-4*(R_/AF120)^2+3*(R_/AF120)^4)*COS(2*AE120)</f>
        <v>0.2850417377242182</v>
      </c>
      <c r="AI120" s="14">
        <f t="shared" ref="AI120:AI151" si="138">p/2*(1+k)*(1+(R_/AF120)^2)+p/2*(1-k)*(1+3*(R_/AF120)^4)*COS(2*AE120)</f>
        <v>1.3478604811734927</v>
      </c>
      <c r="AJ120" s="14">
        <f t="shared" ref="AJ120:AJ151" si="139">p/2*(1-k)*(1+2*(R_/AF120)^2-3*(R_/AF120)^4)*SIN(2*AE120)</f>
        <v>-0.29983181817031018</v>
      </c>
      <c r="AK120" s="14">
        <f t="shared" si="115"/>
        <v>0.81923996072487859</v>
      </c>
      <c r="AL120" s="14">
        <f t="shared" si="116"/>
        <v>0.81366225817283222</v>
      </c>
      <c r="AM120" s="14">
        <f t="shared" si="117"/>
        <v>0.61015893248419428</v>
      </c>
      <c r="AN120" s="1">
        <f t="shared" ref="AN120:AN151" si="140">nx2_*AK120+ny2_*AM120</f>
        <v>-0.48461924842452564</v>
      </c>
      <c r="AO120" s="1">
        <f t="shared" ref="AO120:AO151" si="141">nx2_*AM120+ny2_*AL120</f>
        <v>-0.20912326264738018</v>
      </c>
      <c r="AP120" s="1">
        <f t="shared" ref="AP120:AP151" si="142">(AN120*nx2_+AO120*ny2_)*AG120*1000</f>
        <v>16.415282229326316</v>
      </c>
      <c r="AQ120" s="1">
        <f t="shared" ref="AQ120:AQ151" si="143">(AN120*mx2_+AO120*my2_)*AG120*1000</f>
        <v>18.450803928396002</v>
      </c>
      <c r="AR120" s="1">
        <f t="shared" si="118"/>
        <v>0</v>
      </c>
      <c r="AS120" s="1">
        <f t="shared" ref="AS120:AS151" si="144">IF(-AP120&gt;=σt*AG120,0,AP120)</f>
        <v>16.415282229326316</v>
      </c>
      <c r="AT120" s="1">
        <f t="shared" ref="AT120:AT151" si="145">IF(-AP120&gt;=σt*AG120,0,SIGN(AQ120)*IF(AP120&lt;0,MIN(ABS(AQ120),c_*AG120),MIN(ABS(AQ120),c_*AG120+AP120*TAN(φ))))</f>
        <v>9.4773676139252281</v>
      </c>
    </row>
    <row r="121" spans="1:46" x14ac:dyDescent="0.25">
      <c r="A121" s="14">
        <f t="shared" si="119"/>
        <v>3.3859387488690031</v>
      </c>
      <c r="B121" s="14">
        <f t="shared" si="120"/>
        <v>-4.8514786313799778</v>
      </c>
      <c r="C121" s="14">
        <f t="shared" si="121"/>
        <v>-1.2096094779983568</v>
      </c>
      <c r="D121" s="14">
        <f t="shared" ref="D121:D152" si="146">D120+(PI()/2-θ1)/180</f>
        <v>1.0476823648777096</v>
      </c>
      <c r="E121" s="14">
        <f t="shared" si="122"/>
        <v>3.5046514844570704</v>
      </c>
      <c r="F121" s="14">
        <f t="shared" si="123"/>
        <v>6.1059464481362058</v>
      </c>
      <c r="G121" s="14">
        <f t="shared" si="102"/>
        <v>3.0504092168150416</v>
      </c>
      <c r="H121" s="14">
        <f t="shared" si="103"/>
        <v>5.2893842399164948</v>
      </c>
      <c r="I121" s="14">
        <f t="shared" si="104"/>
        <v>1.0508336538049217</v>
      </c>
      <c r="J121" s="14">
        <f t="shared" si="124"/>
        <v>6.1194937560858289</v>
      </c>
      <c r="K121" s="14">
        <f t="shared" si="105"/>
        <v>4.7204433701167225E-2</v>
      </c>
      <c r="L121" s="14">
        <f t="shared" si="125"/>
        <v>0.2899657117913243</v>
      </c>
      <c r="M121" s="14">
        <f t="shared" si="126"/>
        <v>1.3368483804990583</v>
      </c>
      <c r="N121" s="14">
        <f t="shared" si="127"/>
        <v>0.30127085352782773</v>
      </c>
      <c r="O121" s="14">
        <f t="shared" si="106"/>
        <v>0.81861148103639914</v>
      </c>
      <c r="P121" s="14">
        <f t="shared" si="107"/>
        <v>0.80820261125398341</v>
      </c>
      <c r="Q121" s="14">
        <f t="shared" si="108"/>
        <v>-0.60392704158118782</v>
      </c>
      <c r="R121" s="1">
        <f t="shared" si="128"/>
        <v>0.48668336328964878</v>
      </c>
      <c r="S121" s="1">
        <f t="shared" si="129"/>
        <v>-0.20578259788458453</v>
      </c>
      <c r="T121" s="1">
        <f t="shared" si="130"/>
        <v>16.715913131868088</v>
      </c>
      <c r="U121" s="1">
        <f t="shared" si="131"/>
        <v>18.512807006497621</v>
      </c>
      <c r="V121" s="1">
        <f t="shared" si="109"/>
        <v>0</v>
      </c>
      <c r="W121" s="1">
        <f t="shared" si="132"/>
        <v>16.715913131868088</v>
      </c>
      <c r="X121" s="1">
        <f t="shared" si="133"/>
        <v>9.6509369464344399</v>
      </c>
      <c r="Z121" s="14">
        <f t="shared" ref="Z121:Z152" si="147">Z120-(PI()/2-θ2)/180</f>
        <v>2.0939102887120713</v>
      </c>
      <c r="AA121" s="14">
        <f t="shared" si="134"/>
        <v>3.5046514844571615</v>
      </c>
      <c r="AB121" s="14">
        <f t="shared" si="135"/>
        <v>6.1059464481362582</v>
      </c>
      <c r="AC121" s="14">
        <f t="shared" si="111"/>
        <v>-3.0504092168150021</v>
      </c>
      <c r="AD121" s="14">
        <f t="shared" si="112"/>
        <v>5.2893842399165774</v>
      </c>
      <c r="AE121" s="14">
        <f t="shared" si="113"/>
        <v>2.0907589997848595</v>
      </c>
      <c r="AF121" s="14">
        <f t="shared" si="136"/>
        <v>6.1194937560858813</v>
      </c>
      <c r="AG121" s="14">
        <f t="shared" si="114"/>
        <v>4.720443370116989E-2</v>
      </c>
      <c r="AH121" s="14">
        <f t="shared" si="137"/>
        <v>0.28996571179133385</v>
      </c>
      <c r="AI121" s="14">
        <f t="shared" si="138"/>
        <v>1.336848380499037</v>
      </c>
      <c r="AJ121" s="14">
        <f t="shared" si="139"/>
        <v>-0.30127085352783028</v>
      </c>
      <c r="AK121" s="14">
        <f t="shared" si="115"/>
        <v>0.81861148103639791</v>
      </c>
      <c r="AL121" s="14">
        <f t="shared" si="116"/>
        <v>0.80820261125397297</v>
      </c>
      <c r="AM121" s="14">
        <f t="shared" si="117"/>
        <v>0.60394784801759904</v>
      </c>
      <c r="AN121" s="1">
        <f t="shared" si="140"/>
        <v>-0.48667457010965848</v>
      </c>
      <c r="AO121" s="1">
        <f t="shared" si="141"/>
        <v>-0.20580145491992879</v>
      </c>
      <c r="AP121" s="1">
        <f t="shared" si="142"/>
        <v>16.715160756685947</v>
      </c>
      <c r="AQ121" s="1">
        <f t="shared" si="143"/>
        <v>18.513438324237345</v>
      </c>
      <c r="AR121" s="1">
        <f t="shared" si="118"/>
        <v>0</v>
      </c>
      <c r="AS121" s="1">
        <f t="shared" si="144"/>
        <v>16.715160756685947</v>
      </c>
      <c r="AT121" s="1">
        <f t="shared" si="145"/>
        <v>9.650502562420499</v>
      </c>
    </row>
    <row r="122" spans="1:46" x14ac:dyDescent="0.25">
      <c r="A122" s="14">
        <f t="shared" si="119"/>
        <v>3.4208453339088898</v>
      </c>
      <c r="B122" s="14">
        <f t="shared" si="120"/>
        <v>-4.8063084796915891</v>
      </c>
      <c r="C122" s="14">
        <f t="shared" si="121"/>
        <v>-1.3781867790850142</v>
      </c>
      <c r="D122" s="14">
        <f t="shared" si="146"/>
        <v>1.0539849427321335</v>
      </c>
      <c r="E122" s="14">
        <f t="shared" si="122"/>
        <v>3.5518559181582376</v>
      </c>
      <c r="F122" s="14">
        <f t="shared" si="123"/>
        <v>6.1331623542309481</v>
      </c>
      <c r="G122" s="14">
        <f t="shared" si="102"/>
        <v>3.0304597610978004</v>
      </c>
      <c r="H122" s="14">
        <f t="shared" si="103"/>
        <v>5.3321659857625185</v>
      </c>
      <c r="I122" s="14">
        <f t="shared" si="104"/>
        <v>1.0571362316593453</v>
      </c>
      <c r="J122" s="14">
        <f t="shared" si="124"/>
        <v>6.1469533295329457</v>
      </c>
      <c r="K122" s="14">
        <f t="shared" si="105"/>
        <v>4.7629024809197507E-2</v>
      </c>
      <c r="L122" s="14">
        <f t="shared" si="125"/>
        <v>0.29496424096664925</v>
      </c>
      <c r="M122" s="14">
        <f t="shared" si="126"/>
        <v>1.3260365043931648</v>
      </c>
      <c r="N122" s="14">
        <f t="shared" si="127"/>
        <v>0.30256109634541833</v>
      </c>
      <c r="O122" s="14">
        <f t="shared" si="106"/>
        <v>0.81812455300455456</v>
      </c>
      <c r="P122" s="14">
        <f t="shared" si="107"/>
        <v>0.80287619235525953</v>
      </c>
      <c r="Q122" s="14">
        <f t="shared" si="108"/>
        <v>-0.59771447363936925</v>
      </c>
      <c r="R122" s="1">
        <f t="shared" si="128"/>
        <v>0.48886760128717888</v>
      </c>
      <c r="S122" s="1">
        <f t="shared" si="129"/>
        <v>-0.20240314107770158</v>
      </c>
      <c r="T122" s="1">
        <f t="shared" si="130"/>
        <v>17.028579012804038</v>
      </c>
      <c r="U122" s="1">
        <f t="shared" si="131"/>
        <v>18.577411483140978</v>
      </c>
      <c r="V122" s="1">
        <f t="shared" si="109"/>
        <v>0</v>
      </c>
      <c r="W122" s="1">
        <f t="shared" si="132"/>
        <v>17.028579012804038</v>
      </c>
      <c r="X122" s="1">
        <f t="shared" si="133"/>
        <v>9.8314546769592219</v>
      </c>
      <c r="Z122" s="14">
        <f t="shared" si="147"/>
        <v>2.0876077108576472</v>
      </c>
      <c r="AA122" s="14">
        <f t="shared" si="134"/>
        <v>3.5518559181583313</v>
      </c>
      <c r="AB122" s="14">
        <f t="shared" si="135"/>
        <v>6.1331623542310014</v>
      </c>
      <c r="AC122" s="14">
        <f t="shared" si="111"/>
        <v>-3.0304597610977595</v>
      </c>
      <c r="AD122" s="14">
        <f t="shared" si="112"/>
        <v>5.3321659857626029</v>
      </c>
      <c r="AE122" s="14">
        <f t="shared" si="113"/>
        <v>2.0844564219304349</v>
      </c>
      <c r="AF122" s="14">
        <f t="shared" si="136"/>
        <v>6.1469533295330026</v>
      </c>
      <c r="AG122" s="14">
        <f t="shared" si="114"/>
        <v>4.7629024809199283E-2</v>
      </c>
      <c r="AH122" s="14">
        <f t="shared" si="137"/>
        <v>0.29496424096665941</v>
      </c>
      <c r="AI122" s="14">
        <f t="shared" si="138"/>
        <v>1.3260365043931426</v>
      </c>
      <c r="AJ122" s="14">
        <f t="shared" si="139"/>
        <v>-0.30256109634542067</v>
      </c>
      <c r="AK122" s="14">
        <f t="shared" si="115"/>
        <v>0.81812455300455356</v>
      </c>
      <c r="AL122" s="14">
        <f t="shared" si="116"/>
        <v>0.80287619235524832</v>
      </c>
      <c r="AM122" s="14">
        <f t="shared" si="117"/>
        <v>0.59775065399771488</v>
      </c>
      <c r="AN122" s="1">
        <f t="shared" si="140"/>
        <v>-0.48885231080702474</v>
      </c>
      <c r="AO122" s="1">
        <f t="shared" si="141"/>
        <v>-0.20243593161821272</v>
      </c>
      <c r="AP122" s="1">
        <f t="shared" si="142"/>
        <v>17.027258938066687</v>
      </c>
      <c r="AQ122" s="1">
        <f t="shared" si="143"/>
        <v>18.578519157367509</v>
      </c>
      <c r="AR122" s="1">
        <f t="shared" si="118"/>
        <v>0</v>
      </c>
      <c r="AS122" s="1">
        <f t="shared" si="144"/>
        <v>17.027258938066687</v>
      </c>
      <c r="AT122" s="1">
        <f t="shared" si="145"/>
        <v>9.8306925314542628</v>
      </c>
    </row>
    <row r="123" spans="1:46" x14ac:dyDescent="0.25">
      <c r="A123" s="14">
        <f t="shared" si="119"/>
        <v>3.4557519189487764</v>
      </c>
      <c r="B123" s="14">
        <f t="shared" si="120"/>
        <v>-4.755282581475762</v>
      </c>
      <c r="C123" s="14">
        <f t="shared" si="121"/>
        <v>-1.5450849718747555</v>
      </c>
      <c r="D123" s="14">
        <f t="shared" si="146"/>
        <v>1.0602875205865574</v>
      </c>
      <c r="E123" s="14">
        <f t="shared" si="122"/>
        <v>3.5994849429674352</v>
      </c>
      <c r="F123" s="14">
        <f t="shared" si="123"/>
        <v>6.1608677842207644</v>
      </c>
      <c r="G123" s="14">
        <f t="shared" si="102"/>
        <v>3.0103308654245322</v>
      </c>
      <c r="H123" s="14">
        <f t="shared" si="103"/>
        <v>5.3753325418360545</v>
      </c>
      <c r="I123" s="14">
        <f t="shared" si="104"/>
        <v>1.0634388095137695</v>
      </c>
      <c r="J123" s="14">
        <f t="shared" si="124"/>
        <v>6.1749068360403694</v>
      </c>
      <c r="K123" s="14">
        <f t="shared" si="105"/>
        <v>4.8063206000167114E-2</v>
      </c>
      <c r="L123" s="14">
        <f t="shared" si="125"/>
        <v>0.30003944609570982</v>
      </c>
      <c r="M123" s="14">
        <f t="shared" si="126"/>
        <v>1.3154228132313908</v>
      </c>
      <c r="N123" s="14">
        <f t="shared" si="127"/>
        <v>0.30370089078549273</v>
      </c>
      <c r="O123" s="14">
        <f t="shared" si="106"/>
        <v>0.81777994103439922</v>
      </c>
      <c r="P123" s="14">
        <f t="shared" si="107"/>
        <v>0.79768231829270142</v>
      </c>
      <c r="Q123" s="14">
        <f t="shared" si="108"/>
        <v>-0.59151001514588331</v>
      </c>
      <c r="R123" s="1">
        <f t="shared" si="128"/>
        <v>0.49117739423868045</v>
      </c>
      <c r="S123" s="1">
        <f t="shared" si="129"/>
        <v>-0.19897501805872797</v>
      </c>
      <c r="T123" s="1">
        <f t="shared" si="130"/>
        <v>17.35405783321707</v>
      </c>
      <c r="U123" s="1">
        <f t="shared" si="131"/>
        <v>18.644349391187639</v>
      </c>
      <c r="V123" s="1">
        <f t="shared" si="109"/>
        <v>0</v>
      </c>
      <c r="W123" s="1">
        <f t="shared" si="132"/>
        <v>17.35405783321707</v>
      </c>
      <c r="X123" s="1">
        <f t="shared" si="133"/>
        <v>10.019369961540209</v>
      </c>
      <c r="Z123" s="14">
        <f t="shared" si="147"/>
        <v>2.0813051330032231</v>
      </c>
      <c r="AA123" s="14">
        <f t="shared" si="134"/>
        <v>3.5994849429675306</v>
      </c>
      <c r="AB123" s="14">
        <f t="shared" si="135"/>
        <v>6.1608677842208213</v>
      </c>
      <c r="AC123" s="14">
        <f t="shared" si="111"/>
        <v>-3.0103308654244914</v>
      </c>
      <c r="AD123" s="14">
        <f t="shared" si="112"/>
        <v>5.3753325418361424</v>
      </c>
      <c r="AE123" s="14">
        <f t="shared" si="113"/>
        <v>2.0781538440760112</v>
      </c>
      <c r="AF123" s="14">
        <f t="shared" si="136"/>
        <v>6.1749068360404245</v>
      </c>
      <c r="AG123" s="14">
        <f t="shared" si="114"/>
        <v>4.8063206000169778E-2</v>
      </c>
      <c r="AH123" s="14">
        <f t="shared" si="137"/>
        <v>0.3000394460957197</v>
      </c>
      <c r="AI123" s="14">
        <f t="shared" si="138"/>
        <v>1.3154228132313701</v>
      </c>
      <c r="AJ123" s="14">
        <f t="shared" si="139"/>
        <v>-0.30370089078549461</v>
      </c>
      <c r="AK123" s="14">
        <f t="shared" si="115"/>
        <v>0.81777994103439899</v>
      </c>
      <c r="AL123" s="14">
        <f t="shared" si="116"/>
        <v>0.79768231829269076</v>
      </c>
      <c r="AM123" s="14">
        <f t="shared" si="117"/>
        <v>0.59156160005685221</v>
      </c>
      <c r="AN123" s="1">
        <f t="shared" si="140"/>
        <v>-0.49115559351327448</v>
      </c>
      <c r="AO123" s="1">
        <f t="shared" si="141"/>
        <v>-0.19902176986523712</v>
      </c>
      <c r="AP123" s="1">
        <f t="shared" si="142"/>
        <v>17.35215855149746</v>
      </c>
      <c r="AQ123" s="1">
        <f t="shared" si="143"/>
        <v>18.645943077780011</v>
      </c>
      <c r="AR123" s="1">
        <f t="shared" si="118"/>
        <v>0</v>
      </c>
      <c r="AS123" s="1">
        <f t="shared" si="144"/>
        <v>17.35215855149746</v>
      </c>
      <c r="AT123" s="1">
        <f t="shared" si="145"/>
        <v>10.018273410728124</v>
      </c>
    </row>
    <row r="124" spans="1:46" x14ac:dyDescent="0.25">
      <c r="A124" s="14">
        <f t="shared" si="119"/>
        <v>3.4906585039886631</v>
      </c>
      <c r="B124" s="14">
        <f t="shared" si="120"/>
        <v>-4.6984631039295355</v>
      </c>
      <c r="C124" s="14">
        <f t="shared" si="121"/>
        <v>-1.7101007166283622</v>
      </c>
      <c r="D124" s="14">
        <f t="shared" si="146"/>
        <v>1.0665900984409813</v>
      </c>
      <c r="E124" s="14">
        <f t="shared" si="122"/>
        <v>3.6475481489676023</v>
      </c>
      <c r="F124" s="14">
        <f t="shared" si="123"/>
        <v>6.1890716185092725</v>
      </c>
      <c r="G124" s="14">
        <f t="shared" si="102"/>
        <v>2.9900184768510565</v>
      </c>
      <c r="H124" s="14">
        <f t="shared" si="103"/>
        <v>5.4188925997039536</v>
      </c>
      <c r="I124" s="14">
        <f t="shared" si="104"/>
        <v>1.0697413873681931</v>
      </c>
      <c r="J124" s="14">
        <f t="shared" si="124"/>
        <v>6.203363281176256</v>
      </c>
      <c r="K124" s="14">
        <f t="shared" si="105"/>
        <v>4.8507222549500906E-2</v>
      </c>
      <c r="L124" s="14">
        <f t="shared" si="125"/>
        <v>0.30519342361486435</v>
      </c>
      <c r="M124" s="14">
        <f t="shared" si="126"/>
        <v>1.3050051445306634</v>
      </c>
      <c r="N124" s="14">
        <f t="shared" si="127"/>
        <v>0.30468872902229815</v>
      </c>
      <c r="O124" s="14">
        <f t="shared" si="106"/>
        <v>0.81757794819014418</v>
      </c>
      <c r="P124" s="14">
        <f t="shared" si="107"/>
        <v>0.79262061995538358</v>
      </c>
      <c r="Q124" s="14">
        <f t="shared" si="108"/>
        <v>-0.58530793079815857</v>
      </c>
      <c r="R124" s="1">
        <f t="shared" si="128"/>
        <v>0.49361544065721097</v>
      </c>
      <c r="S124" s="1">
        <f t="shared" si="129"/>
        <v>-0.19549318687129996</v>
      </c>
      <c r="T124" s="1">
        <f t="shared" si="130"/>
        <v>17.692937966586335</v>
      </c>
      <c r="U124" s="1">
        <f t="shared" si="131"/>
        <v>18.713499380223475</v>
      </c>
      <c r="V124" s="1">
        <f t="shared" si="109"/>
        <v>0</v>
      </c>
      <c r="W124" s="1">
        <f t="shared" si="132"/>
        <v>17.692937966586335</v>
      </c>
      <c r="X124" s="1">
        <f t="shared" si="133"/>
        <v>10.21502249776397</v>
      </c>
      <c r="Z124" s="14">
        <f t="shared" si="147"/>
        <v>2.0750025551487989</v>
      </c>
      <c r="AA124" s="14">
        <f t="shared" si="134"/>
        <v>3.6475481489677004</v>
      </c>
      <c r="AB124" s="14">
        <f t="shared" si="135"/>
        <v>6.1890716185093302</v>
      </c>
      <c r="AC124" s="14">
        <f t="shared" si="111"/>
        <v>-2.9900184768510139</v>
      </c>
      <c r="AD124" s="14">
        <f t="shared" si="112"/>
        <v>5.4188925997040434</v>
      </c>
      <c r="AE124" s="14">
        <f t="shared" si="113"/>
        <v>2.0718512662215867</v>
      </c>
      <c r="AF124" s="14">
        <f t="shared" si="136"/>
        <v>6.2033632811763173</v>
      </c>
      <c r="AG124" s="14">
        <f t="shared" si="114"/>
        <v>4.850722254950357E-2</v>
      </c>
      <c r="AH124" s="14">
        <f t="shared" si="137"/>
        <v>0.3051934236148755</v>
      </c>
      <c r="AI124" s="14">
        <f t="shared" si="138"/>
        <v>1.3050051445306414</v>
      </c>
      <c r="AJ124" s="14">
        <f t="shared" si="139"/>
        <v>-0.30468872902230015</v>
      </c>
      <c r="AK124" s="14">
        <f t="shared" si="115"/>
        <v>0.81757794819014395</v>
      </c>
      <c r="AL124" s="14">
        <f t="shared" si="116"/>
        <v>0.79262061995537314</v>
      </c>
      <c r="AM124" s="14">
        <f t="shared" si="117"/>
        <v>0.58537495312455068</v>
      </c>
      <c r="AN124" s="1">
        <f t="shared" si="140"/>
        <v>-0.49358711579813308</v>
      </c>
      <c r="AO124" s="1">
        <f t="shared" si="141"/>
        <v>-0.19555392972761887</v>
      </c>
      <c r="AP124" s="1">
        <f t="shared" si="142"/>
        <v>17.690447504852653</v>
      </c>
      <c r="AQ124" s="1">
        <f t="shared" si="143"/>
        <v>18.71558912574762</v>
      </c>
      <c r="AR124" s="1">
        <f t="shared" si="118"/>
        <v>0</v>
      </c>
      <c r="AS124" s="1">
        <f t="shared" si="144"/>
        <v>17.690447504852653</v>
      </c>
      <c r="AT124" s="1">
        <f t="shared" si="145"/>
        <v>10.213584629011622</v>
      </c>
    </row>
    <row r="125" spans="1:46" x14ac:dyDescent="0.25">
      <c r="A125" s="14">
        <f t="shared" si="119"/>
        <v>3.5255650890285497</v>
      </c>
      <c r="B125" s="14">
        <f t="shared" si="120"/>
        <v>-4.6359192728339291</v>
      </c>
      <c r="C125" s="14">
        <f t="shared" si="121"/>
        <v>-1.8730329670795784</v>
      </c>
      <c r="D125" s="14">
        <f t="shared" si="146"/>
        <v>1.0728926762954052</v>
      </c>
      <c r="E125" s="14">
        <f t="shared" si="122"/>
        <v>3.6960553715171032</v>
      </c>
      <c r="F125" s="14">
        <f t="shared" si="123"/>
        <v>6.2177829898863815</v>
      </c>
      <c r="G125" s="14">
        <f t="shared" si="102"/>
        <v>2.9695184387753168</v>
      </c>
      <c r="H125" s="14">
        <f t="shared" si="103"/>
        <v>5.4628550732280861</v>
      </c>
      <c r="I125" s="14">
        <f t="shared" si="104"/>
        <v>1.0760439652226172</v>
      </c>
      <c r="J125" s="14">
        <f t="shared" si="124"/>
        <v>6.2323319270514315</v>
      </c>
      <c r="K125" s="14">
        <f t="shared" si="105"/>
        <v>4.8961328238705804E-2</v>
      </c>
      <c r="L125" s="14">
        <f t="shared" si="125"/>
        <v>0.31042824087977317</v>
      </c>
      <c r="M125" s="14">
        <f t="shared" si="126"/>
        <v>1.2947812182325373</v>
      </c>
      <c r="N125" s="14">
        <f t="shared" si="127"/>
        <v>0.30552325256476975</v>
      </c>
      <c r="O125" s="14">
        <f t="shared" si="106"/>
        <v>0.8175184201943787</v>
      </c>
      <c r="P125" s="14">
        <f t="shared" si="107"/>
        <v>0.7876910389179318</v>
      </c>
      <c r="Q125" s="14">
        <f t="shared" si="108"/>
        <v>-0.57910252606521784</v>
      </c>
      <c r="R125" s="1">
        <f t="shared" si="128"/>
        <v>0.49618400733273504</v>
      </c>
      <c r="S125" s="1">
        <f t="shared" si="129"/>
        <v>-0.19195251120927953</v>
      </c>
      <c r="T125" s="1">
        <f t="shared" si="130"/>
        <v>18.045813499137939</v>
      </c>
      <c r="U125" s="1">
        <f t="shared" si="131"/>
        <v>18.784722457179388</v>
      </c>
      <c r="V125" s="1">
        <f t="shared" si="109"/>
        <v>0</v>
      </c>
      <c r="W125" s="1">
        <f t="shared" si="132"/>
        <v>18.045813499137939</v>
      </c>
      <c r="X125" s="1">
        <f t="shared" si="133"/>
        <v>10.418755281473072</v>
      </c>
      <c r="Z125" s="14">
        <f t="shared" si="147"/>
        <v>2.0686999772943748</v>
      </c>
      <c r="AA125" s="14">
        <f t="shared" si="134"/>
        <v>3.696055371517204</v>
      </c>
      <c r="AB125" s="14">
        <f t="shared" si="135"/>
        <v>6.2177829898864418</v>
      </c>
      <c r="AC125" s="14">
        <f t="shared" si="111"/>
        <v>-2.9695184387752738</v>
      </c>
      <c r="AD125" s="14">
        <f t="shared" si="112"/>
        <v>5.4628550732281775</v>
      </c>
      <c r="AE125" s="14">
        <f t="shared" si="113"/>
        <v>2.065548688367163</v>
      </c>
      <c r="AF125" s="14">
        <f t="shared" si="136"/>
        <v>6.232331927051491</v>
      </c>
      <c r="AG125" s="14">
        <f t="shared" si="114"/>
        <v>4.8961328238709356E-2</v>
      </c>
      <c r="AH125" s="14">
        <f t="shared" si="137"/>
        <v>0.31042824087978393</v>
      </c>
      <c r="AI125" s="14">
        <f t="shared" si="138"/>
        <v>1.2947812182325167</v>
      </c>
      <c r="AJ125" s="14">
        <f t="shared" si="139"/>
        <v>-0.30552325256477125</v>
      </c>
      <c r="AK125" s="14">
        <f t="shared" si="115"/>
        <v>0.81751842019437893</v>
      </c>
      <c r="AL125" s="14">
        <f t="shared" si="116"/>
        <v>0.78769103891792169</v>
      </c>
      <c r="AM125" s="14">
        <f t="shared" si="117"/>
        <v>0.57918501848088111</v>
      </c>
      <c r="AN125" s="1">
        <f t="shared" si="140"/>
        <v>-0.49614914453142078</v>
      </c>
      <c r="AO125" s="1">
        <f t="shared" si="141"/>
        <v>-0.19202727472797082</v>
      </c>
      <c r="AP125" s="1">
        <f t="shared" si="142"/>
        <v>18.042719492943938</v>
      </c>
      <c r="AQ125" s="1">
        <f t="shared" si="143"/>
        <v>18.787318636638222</v>
      </c>
      <c r="AR125" s="1">
        <f t="shared" si="118"/>
        <v>0</v>
      </c>
      <c r="AS125" s="1">
        <f t="shared" si="144"/>
        <v>18.042719492943938</v>
      </c>
      <c r="AT125" s="1">
        <f t="shared" si="145"/>
        <v>10.416968956164091</v>
      </c>
    </row>
    <row r="126" spans="1:46" x14ac:dyDescent="0.25">
      <c r="A126" s="14">
        <f t="shared" si="119"/>
        <v>3.5604716740684363</v>
      </c>
      <c r="B126" s="14">
        <f t="shared" si="120"/>
        <v>-4.5677272882129962</v>
      </c>
      <c r="C126" s="14">
        <f t="shared" si="121"/>
        <v>-2.0336832153790194</v>
      </c>
      <c r="D126" s="14">
        <f t="shared" si="146"/>
        <v>1.0791952541498291</v>
      </c>
      <c r="E126" s="14">
        <f t="shared" si="122"/>
        <v>3.745016699755809</v>
      </c>
      <c r="F126" s="14">
        <f t="shared" si="123"/>
        <v>6.2470112919259151</v>
      </c>
      <c r="G126" s="14">
        <f t="shared" si="102"/>
        <v>2.9488264873425587</v>
      </c>
      <c r="H126" s="14">
        <f t="shared" si="103"/>
        <v>5.5072291062744831</v>
      </c>
      <c r="I126" s="14">
        <f t="shared" si="104"/>
        <v>1.0823465430770409</v>
      </c>
      <c r="J126" s="14">
        <f t="shared" si="124"/>
        <v>6.261822300888773</v>
      </c>
      <c r="K126" s="14">
        <f t="shared" si="105"/>
        <v>4.9425785701266989E-2</v>
      </c>
      <c r="L126" s="14">
        <f t="shared" si="125"/>
        <v>0.31574593150171093</v>
      </c>
      <c r="M126" s="14">
        <f t="shared" si="126"/>
        <v>1.2847486420673737</v>
      </c>
      <c r="N126" s="14">
        <f t="shared" si="127"/>
        <v>0.30620325338164472</v>
      </c>
      <c r="O126" s="14">
        <f t="shared" si="106"/>
        <v>0.81760075053877934</v>
      </c>
      <c r="P126" s="14">
        <f t="shared" si="107"/>
        <v>0.7828938230303053</v>
      </c>
      <c r="Q126" s="14">
        <f t="shared" si="108"/>
        <v>-0.57288816792471331</v>
      </c>
      <c r="R126" s="1">
        <f t="shared" si="128"/>
        <v>0.49888492520014893</v>
      </c>
      <c r="S126" s="1">
        <f t="shared" si="129"/>
        <v>-0.18834778107472921</v>
      </c>
      <c r="T126" s="1">
        <f t="shared" si="130"/>
        <v>18.413283897130253</v>
      </c>
      <c r="U126" s="1">
        <f t="shared" si="131"/>
        <v>18.85786191260075</v>
      </c>
      <c r="V126" s="1">
        <f t="shared" si="109"/>
        <v>0</v>
      </c>
      <c r="W126" s="1">
        <f t="shared" si="132"/>
        <v>18.413283897130253</v>
      </c>
      <c r="X126" s="1">
        <f t="shared" si="133"/>
        <v>10.630914414673152</v>
      </c>
      <c r="Z126" s="14">
        <f t="shared" si="147"/>
        <v>2.0623973994399507</v>
      </c>
      <c r="AA126" s="14">
        <f t="shared" si="134"/>
        <v>3.7450166997559133</v>
      </c>
      <c r="AB126" s="14">
        <f t="shared" si="135"/>
        <v>6.2470112919259781</v>
      </c>
      <c r="AC126" s="14">
        <f t="shared" si="111"/>
        <v>-2.9488264873425147</v>
      </c>
      <c r="AD126" s="14">
        <f t="shared" si="112"/>
        <v>5.5072291062745782</v>
      </c>
      <c r="AE126" s="14">
        <f t="shared" si="113"/>
        <v>2.0592461105127384</v>
      </c>
      <c r="AF126" s="14">
        <f t="shared" si="136"/>
        <v>6.2618223008888378</v>
      </c>
      <c r="AG126" s="14">
        <f t="shared" si="114"/>
        <v>4.9425785701270097E-2</v>
      </c>
      <c r="AH126" s="14">
        <f t="shared" si="137"/>
        <v>0.31574593150172259</v>
      </c>
      <c r="AI126" s="14">
        <f t="shared" si="138"/>
        <v>1.284748642067352</v>
      </c>
      <c r="AJ126" s="14">
        <f t="shared" si="139"/>
        <v>-0.306203253381646</v>
      </c>
      <c r="AK126" s="14">
        <f t="shared" si="115"/>
        <v>0.8176007505387799</v>
      </c>
      <c r="AL126" s="14">
        <f t="shared" si="116"/>
        <v>0.78289382303029464</v>
      </c>
      <c r="AM126" s="14">
        <f t="shared" si="117"/>
        <v>0.57298616052305906</v>
      </c>
      <c r="AN126" s="1">
        <f t="shared" si="140"/>
        <v>-0.498843511738573</v>
      </c>
      <c r="AO126" s="1">
        <f t="shared" si="141"/>
        <v>-0.18843659252968642</v>
      </c>
      <c r="AP126" s="1">
        <f t="shared" si="142"/>
        <v>18.409573667223988</v>
      </c>
      <c r="AQ126" s="1">
        <f t="shared" si="143"/>
        <v>18.860975165148986</v>
      </c>
      <c r="AR126" s="1">
        <f t="shared" si="118"/>
        <v>0</v>
      </c>
      <c r="AS126" s="1">
        <f t="shared" si="144"/>
        <v>18.409573667223988</v>
      </c>
      <c r="AT126" s="1">
        <f t="shared" si="145"/>
        <v>10.628772312438015</v>
      </c>
    </row>
    <row r="127" spans="1:46" x14ac:dyDescent="0.25">
      <c r="A127" s="14">
        <f t="shared" si="119"/>
        <v>3.595378259108323</v>
      </c>
      <c r="B127" s="14">
        <f t="shared" si="120"/>
        <v>-4.4939702314958261</v>
      </c>
      <c r="C127" s="14">
        <f t="shared" si="121"/>
        <v>-2.1918557339454052</v>
      </c>
      <c r="D127" s="14">
        <f t="shared" si="146"/>
        <v>1.085497832004253</v>
      </c>
      <c r="E127" s="14">
        <f t="shared" si="122"/>
        <v>3.794442485457076</v>
      </c>
      <c r="F127" s="14">
        <f t="shared" si="123"/>
        <v>6.2767661877308827</v>
      </c>
      <c r="G127" s="14">
        <f t="shared" si="102"/>
        <v>2.9279382477043217</v>
      </c>
      <c r="H127" s="14">
        <f t="shared" si="103"/>
        <v>5.5520240807359462</v>
      </c>
      <c r="I127" s="14">
        <f t="shared" si="104"/>
        <v>1.088649120931465</v>
      </c>
      <c r="J127" s="14">
        <f t="shared" si="124"/>
        <v>6.2918442039485525</v>
      </c>
      <c r="K127" s="14">
        <f t="shared" si="105"/>
        <v>4.9900866785253406E-2</v>
      </c>
      <c r="L127" s="14">
        <f t="shared" si="125"/>
        <v>0.32114849069881579</v>
      </c>
      <c r="M127" s="14">
        <f t="shared" si="126"/>
        <v>1.2749049169917968</v>
      </c>
      <c r="N127" s="14">
        <f t="shared" si="127"/>
        <v>0.30672767482787966</v>
      </c>
      <c r="O127" s="14">
        <f t="shared" si="106"/>
        <v>0.81782388668707096</v>
      </c>
      <c r="P127" s="14">
        <f t="shared" si="107"/>
        <v>0.7782295210035417</v>
      </c>
      <c r="Q127" s="14">
        <f t="shared" si="108"/>
        <v>-0.56665930525372721</v>
      </c>
      <c r="R127" s="1">
        <f t="shared" si="128"/>
        <v>0.50171958634354863</v>
      </c>
      <c r="S127" s="1">
        <f t="shared" si="129"/>
        <v>-0.18467373354641703</v>
      </c>
      <c r="T127" s="1">
        <f t="shared" si="130"/>
        <v>18.795953688422077</v>
      </c>
      <c r="U127" s="1">
        <f t="shared" si="131"/>
        <v>18.932743266058779</v>
      </c>
      <c r="V127" s="1">
        <f t="shared" si="109"/>
        <v>0</v>
      </c>
      <c r="W127" s="1">
        <f t="shared" si="132"/>
        <v>18.795953688422077</v>
      </c>
      <c r="X127" s="1">
        <f t="shared" si="133"/>
        <v>10.851848921686225</v>
      </c>
      <c r="Z127" s="14">
        <f t="shared" si="147"/>
        <v>2.0560948215855266</v>
      </c>
      <c r="AA127" s="14">
        <f t="shared" si="134"/>
        <v>3.7944424854571834</v>
      </c>
      <c r="AB127" s="14">
        <f t="shared" si="135"/>
        <v>6.2767661877309466</v>
      </c>
      <c r="AC127" s="14">
        <f t="shared" si="111"/>
        <v>-2.9279382477042755</v>
      </c>
      <c r="AD127" s="14">
        <f t="shared" si="112"/>
        <v>5.552024080736043</v>
      </c>
      <c r="AE127" s="14">
        <f t="shared" si="113"/>
        <v>2.0529435326583148</v>
      </c>
      <c r="AF127" s="14">
        <f t="shared" si="136"/>
        <v>6.2918442039486164</v>
      </c>
      <c r="AG127" s="14">
        <f t="shared" si="114"/>
        <v>4.9900866785256515E-2</v>
      </c>
      <c r="AH127" s="14">
        <f t="shared" si="137"/>
        <v>0.32114849069882734</v>
      </c>
      <c r="AI127" s="14">
        <f t="shared" si="138"/>
        <v>1.2749049169917761</v>
      </c>
      <c r="AJ127" s="14">
        <f t="shared" si="139"/>
        <v>-0.30672767482788055</v>
      </c>
      <c r="AK127" s="14">
        <f t="shared" si="115"/>
        <v>0.81782388668707151</v>
      </c>
      <c r="AL127" s="14">
        <f t="shared" si="116"/>
        <v>0.77822952100353171</v>
      </c>
      <c r="AM127" s="14">
        <f t="shared" si="117"/>
        <v>0.56677282319246181</v>
      </c>
      <c r="AN127" s="1">
        <f t="shared" si="140"/>
        <v>-0.50167161158960472</v>
      </c>
      <c r="AO127" s="1">
        <f t="shared" si="141"/>
        <v>-0.18477661573826476</v>
      </c>
      <c r="AP127" s="1">
        <f t="shared" si="142"/>
        <v>18.791614319718239</v>
      </c>
      <c r="AQ127" s="1">
        <f t="shared" si="143"/>
        <v>18.936384428740016</v>
      </c>
      <c r="AR127" s="1">
        <f t="shared" si="118"/>
        <v>0</v>
      </c>
      <c r="AS127" s="1">
        <f t="shared" si="144"/>
        <v>18.791614319718239</v>
      </c>
      <c r="AT127" s="1">
        <f t="shared" si="145"/>
        <v>10.84934358599695</v>
      </c>
    </row>
    <row r="128" spans="1:46" x14ac:dyDescent="0.25">
      <c r="A128" s="14">
        <f t="shared" si="119"/>
        <v>3.6302848441482096</v>
      </c>
      <c r="B128" s="14">
        <f t="shared" si="120"/>
        <v>-4.4147379642946252</v>
      </c>
      <c r="C128" s="14">
        <f t="shared" si="121"/>
        <v>-2.347357813929472</v>
      </c>
      <c r="D128" s="14">
        <f t="shared" si="146"/>
        <v>1.0918004098586769</v>
      </c>
      <c r="E128" s="14">
        <f t="shared" si="122"/>
        <v>3.8443433522423294</v>
      </c>
      <c r="F128" s="14">
        <f t="shared" si="123"/>
        <v>6.3070576190431149</v>
      </c>
      <c r="G128" s="14">
        <f t="shared" si="102"/>
        <v>2.9068492301241839</v>
      </c>
      <c r="H128" s="14">
        <f t="shared" si="103"/>
        <v>5.5972496248833004</v>
      </c>
      <c r="I128" s="14">
        <f t="shared" si="104"/>
        <v>1.0949516987858887</v>
      </c>
      <c r="J128" s="14">
        <f t="shared" si="124"/>
        <v>6.322407720826777</v>
      </c>
      <c r="K128" s="14">
        <f t="shared" si="105"/>
        <v>5.0386852933601567E-2</v>
      </c>
      <c r="L128" s="14">
        <f t="shared" si="125"/>
        <v>0.32663787066932237</v>
      </c>
      <c r="M128" s="14">
        <f t="shared" si="126"/>
        <v>1.265247442691809</v>
      </c>
      <c r="N128" s="14">
        <f t="shared" si="127"/>
        <v>0.30709561237167787</v>
      </c>
      <c r="O128" s="14">
        <f t="shared" si="106"/>
        <v>0.81818633734841761</v>
      </c>
      <c r="P128" s="14">
        <f t="shared" si="107"/>
        <v>0.77369897601271409</v>
      </c>
      <c r="Q128" s="14">
        <f t="shared" si="108"/>
        <v>-0.56041048882166844</v>
      </c>
      <c r="R128" s="1">
        <f t="shared" si="128"/>
        <v>0.50468894213879711</v>
      </c>
      <c r="S128" s="1">
        <f t="shared" si="129"/>
        <v>-0.18092507360304122</v>
      </c>
      <c r="T128" s="1">
        <f t="shared" si="130"/>
        <v>19.194432160006748</v>
      </c>
      <c r="U128" s="1">
        <f t="shared" si="131"/>
        <v>19.009174230456683</v>
      </c>
      <c r="V128" s="1">
        <f t="shared" si="109"/>
        <v>0</v>
      </c>
      <c r="W128" s="1">
        <f t="shared" si="132"/>
        <v>19.194432160006748</v>
      </c>
      <c r="X128" s="1">
        <f t="shared" si="133"/>
        <v>11.081910574521906</v>
      </c>
      <c r="Z128" s="14">
        <f t="shared" si="147"/>
        <v>2.0497922437311025</v>
      </c>
      <c r="AA128" s="14">
        <f t="shared" si="134"/>
        <v>3.8443433522424399</v>
      </c>
      <c r="AB128" s="14">
        <f t="shared" si="135"/>
        <v>6.3070576190431806</v>
      </c>
      <c r="AC128" s="14">
        <f t="shared" si="111"/>
        <v>-2.9068492301241364</v>
      </c>
      <c r="AD128" s="14">
        <f t="shared" si="112"/>
        <v>5.5972496248833989</v>
      </c>
      <c r="AE128" s="14">
        <f t="shared" si="113"/>
        <v>2.0466409548038902</v>
      </c>
      <c r="AF128" s="14">
        <f t="shared" si="136"/>
        <v>6.3224077208268463</v>
      </c>
      <c r="AG128" s="14">
        <f t="shared" si="114"/>
        <v>5.0386852933603787E-2</v>
      </c>
      <c r="AH128" s="14">
        <f t="shared" si="137"/>
        <v>0.3266378706693347</v>
      </c>
      <c r="AI128" s="14">
        <f t="shared" si="138"/>
        <v>1.2652474426917872</v>
      </c>
      <c r="AJ128" s="14">
        <f t="shared" si="139"/>
        <v>-0.30709561237167837</v>
      </c>
      <c r="AK128" s="14">
        <f t="shared" si="115"/>
        <v>0.8181863373484185</v>
      </c>
      <c r="AL128" s="14">
        <f t="shared" si="116"/>
        <v>0.77369897601270354</v>
      </c>
      <c r="AM128" s="14">
        <f t="shared" si="117"/>
        <v>0.56053955001019584</v>
      </c>
      <c r="AN128" s="1">
        <f t="shared" si="140"/>
        <v>-0.50463439852364422</v>
      </c>
      <c r="AO128" s="1">
        <f t="shared" si="141"/>
        <v>-0.18104204276321217</v>
      </c>
      <c r="AP128" s="1">
        <f t="shared" si="142"/>
        <v>19.189450582856168</v>
      </c>
      <c r="AQ128" s="1">
        <f t="shared" si="143"/>
        <v>19.013354270008126</v>
      </c>
      <c r="AR128" s="1">
        <f t="shared" si="118"/>
        <v>0</v>
      </c>
      <c r="AS128" s="1">
        <f t="shared" si="144"/>
        <v>19.189450582856168</v>
      </c>
      <c r="AT128" s="1">
        <f t="shared" si="145"/>
        <v>11.079034459613029</v>
      </c>
    </row>
    <row r="129" spans="1:46" x14ac:dyDescent="0.25">
      <c r="A129" s="14">
        <f t="shared" si="119"/>
        <v>3.6651914291880963</v>
      </c>
      <c r="B129" s="14">
        <f t="shared" si="120"/>
        <v>-4.330127018922183</v>
      </c>
      <c r="C129" s="14">
        <f t="shared" si="121"/>
        <v>-2.5000000000000178</v>
      </c>
      <c r="D129" s="14">
        <f t="shared" si="146"/>
        <v>1.0981029877131008</v>
      </c>
      <c r="E129" s="14">
        <f t="shared" si="122"/>
        <v>3.8947302051759309</v>
      </c>
      <c r="F129" s="14">
        <f t="shared" si="123"/>
        <v>6.3378958157348837</v>
      </c>
      <c r="G129" s="14">
        <f t="shared" si="102"/>
        <v>2.8855548259228003</v>
      </c>
      <c r="H129" s="14">
        <f t="shared" si="103"/>
        <v>5.6429156220612926</v>
      </c>
      <c r="I129" s="14">
        <f t="shared" si="104"/>
        <v>1.1012542766403128</v>
      </c>
      <c r="J129" s="14">
        <f t="shared" si="124"/>
        <v>6.3535232291447343</v>
      </c>
      <c r="K129" s="14">
        <f t="shared" si="105"/>
        <v>5.0884035583034226E-2</v>
      </c>
      <c r="L129" s="14">
        <f t="shared" si="125"/>
        <v>0.33221597599385116</v>
      </c>
      <c r="M129" s="14">
        <f t="shared" si="126"/>
        <v>1.2557735231438267</v>
      </c>
      <c r="N129" s="14">
        <f t="shared" si="127"/>
        <v>0.30730631412172171</v>
      </c>
      <c r="O129" s="14">
        <f t="shared" si="106"/>
        <v>0.81868618079684141</v>
      </c>
      <c r="P129" s="14">
        <f t="shared" si="107"/>
        <v>0.76930331834083632</v>
      </c>
      <c r="Q129" s="14">
        <f t="shared" si="108"/>
        <v>-0.55413639083479338</v>
      </c>
      <c r="R129" s="1">
        <f t="shared" si="128"/>
        <v>0.50779350253360678</v>
      </c>
      <c r="S129" s="1">
        <f t="shared" si="129"/>
        <v>-0.17709649494540158</v>
      </c>
      <c r="T129" s="1">
        <f t="shared" si="130"/>
        <v>19.609333073217297</v>
      </c>
      <c r="U129" s="1">
        <f t="shared" si="131"/>
        <v>19.086944694904645</v>
      </c>
      <c r="V129" s="1">
        <f t="shared" si="109"/>
        <v>0</v>
      </c>
      <c r="W129" s="1">
        <f t="shared" si="132"/>
        <v>19.609333073217297</v>
      </c>
      <c r="X129" s="1">
        <f t="shared" si="133"/>
        <v>11.321453728451036</v>
      </c>
      <c r="Z129" s="14">
        <f t="shared" si="147"/>
        <v>2.0434896658766784</v>
      </c>
      <c r="AA129" s="14">
        <f t="shared" si="134"/>
        <v>3.8947302051760437</v>
      </c>
      <c r="AB129" s="14">
        <f t="shared" si="135"/>
        <v>6.3378958157349539</v>
      </c>
      <c r="AC129" s="14">
        <f t="shared" si="111"/>
        <v>-2.8855548259227524</v>
      </c>
      <c r="AD129" s="14">
        <f t="shared" si="112"/>
        <v>5.6429156220613956</v>
      </c>
      <c r="AE129" s="14">
        <f t="shared" si="113"/>
        <v>2.0403383769494665</v>
      </c>
      <c r="AF129" s="14">
        <f t="shared" si="136"/>
        <v>6.3535232291448036</v>
      </c>
      <c r="AG129" s="14">
        <f t="shared" si="114"/>
        <v>5.0884035583035558E-2</v>
      </c>
      <c r="AH129" s="14">
        <f t="shared" si="137"/>
        <v>0.3322159759938636</v>
      </c>
      <c r="AI129" s="14">
        <f t="shared" si="138"/>
        <v>1.2557735231438061</v>
      </c>
      <c r="AJ129" s="14">
        <f t="shared" si="139"/>
        <v>-0.30730631412172205</v>
      </c>
      <c r="AK129" s="14">
        <f t="shared" si="115"/>
        <v>0.81868618079684286</v>
      </c>
      <c r="AL129" s="14">
        <f t="shared" si="116"/>
        <v>0.76930331834082688</v>
      </c>
      <c r="AM129" s="14">
        <f t="shared" si="117"/>
        <v>0.55428100367063826</v>
      </c>
      <c r="AN129" s="1">
        <f t="shared" si="140"/>
        <v>-0.50773238650829788</v>
      </c>
      <c r="AO129" s="1">
        <f t="shared" si="141"/>
        <v>-0.17722755868463719</v>
      </c>
      <c r="AP129" s="1">
        <f t="shared" si="142"/>
        <v>19.603696146915148</v>
      </c>
      <c r="AQ129" s="1">
        <f t="shared" si="143"/>
        <v>19.091674637686875</v>
      </c>
      <c r="AR129" s="1">
        <f t="shared" si="118"/>
        <v>0</v>
      </c>
      <c r="AS129" s="1">
        <f t="shared" si="144"/>
        <v>19.603696146915148</v>
      </c>
      <c r="AT129" s="1">
        <f t="shared" si="145"/>
        <v>11.318199247533089</v>
      </c>
    </row>
    <row r="130" spans="1:46" x14ac:dyDescent="0.25">
      <c r="A130" s="14">
        <f t="shared" si="119"/>
        <v>3.7000980142279829</v>
      </c>
      <c r="B130" s="14">
        <f t="shared" si="120"/>
        <v>-4.240240480782119</v>
      </c>
      <c r="C130" s="14">
        <f t="shared" si="121"/>
        <v>-2.6495963211660429</v>
      </c>
      <c r="D130" s="14">
        <f t="shared" si="146"/>
        <v>1.1044055655675247</v>
      </c>
      <c r="E130" s="14">
        <f t="shared" si="122"/>
        <v>3.9456142407589652</v>
      </c>
      <c r="F130" s="14">
        <f t="shared" si="123"/>
        <v>6.3692913057011253</v>
      </c>
      <c r="G130" s="14">
        <f t="shared" si="102"/>
        <v>2.8640503032543472</v>
      </c>
      <c r="H130" s="14">
        <f t="shared" si="103"/>
        <v>5.6890322197460463</v>
      </c>
      <c r="I130" s="14">
        <f t="shared" si="104"/>
        <v>1.1075568544947365</v>
      </c>
      <c r="J130" s="14">
        <f t="shared" si="124"/>
        <v>6.3852014096487908</v>
      </c>
      <c r="K130" s="14">
        <f t="shared" si="105"/>
        <v>5.1392716582663311E-2</v>
      </c>
      <c r="L130" s="14">
        <f t="shared" si="125"/>
        <v>0.33788465907377474</v>
      </c>
      <c r="M130" s="14">
        <f t="shared" si="126"/>
        <v>1.2464803722259332</v>
      </c>
      <c r="N130" s="14">
        <f t="shared" si="127"/>
        <v>0.30735918115447863</v>
      </c>
      <c r="O130" s="14">
        <f t="shared" si="106"/>
        <v>0.81932107420979894</v>
      </c>
      <c r="P130" s="14">
        <f t="shared" si="107"/>
        <v>0.76504395708990902</v>
      </c>
      <c r="Q130" s="14">
        <f t="shared" si="108"/>
        <v>-0.54783182398329133</v>
      </c>
      <c r="R130" s="1">
        <f t="shared" si="128"/>
        <v>0.51103333646151827</v>
      </c>
      <c r="S130" s="1">
        <f t="shared" si="129"/>
        <v>-0.17318270076198466</v>
      </c>
      <c r="T130" s="1">
        <f t="shared" si="130"/>
        <v>20.041274398367538</v>
      </c>
      <c r="U130" s="1">
        <f t="shared" si="131"/>
        <v>19.165826725799622</v>
      </c>
      <c r="V130" s="1">
        <f t="shared" si="109"/>
        <v>0</v>
      </c>
      <c r="W130" s="1">
        <f t="shared" si="132"/>
        <v>20.041274398367538</v>
      </c>
      <c r="X130" s="1">
        <f t="shared" si="133"/>
        <v>11.570835168800652</v>
      </c>
      <c r="Z130" s="14">
        <f t="shared" si="147"/>
        <v>2.0371870880222542</v>
      </c>
      <c r="AA130" s="14">
        <f t="shared" si="134"/>
        <v>3.9456142407590793</v>
      </c>
      <c r="AB130" s="14">
        <f t="shared" si="135"/>
        <v>6.3692913057011964</v>
      </c>
      <c r="AC130" s="14">
        <f t="shared" si="111"/>
        <v>-2.8640503032542979</v>
      </c>
      <c r="AD130" s="14">
        <f t="shared" si="112"/>
        <v>5.6890322197461511</v>
      </c>
      <c r="AE130" s="14">
        <f t="shared" si="113"/>
        <v>2.034035799095042</v>
      </c>
      <c r="AF130" s="14">
        <f t="shared" si="136"/>
        <v>6.3852014096488654</v>
      </c>
      <c r="AG130" s="14">
        <f t="shared" si="114"/>
        <v>5.1392716582666864E-2</v>
      </c>
      <c r="AH130" s="14">
        <f t="shared" si="137"/>
        <v>0.33788465907378795</v>
      </c>
      <c r="AI130" s="14">
        <f t="shared" si="138"/>
        <v>1.2464803722259117</v>
      </c>
      <c r="AJ130" s="14">
        <f t="shared" si="139"/>
        <v>-0.30735918115447847</v>
      </c>
      <c r="AK130" s="14">
        <f t="shared" si="115"/>
        <v>0.81932107420980083</v>
      </c>
      <c r="AL130" s="14">
        <f t="shared" si="116"/>
        <v>0.76504395708989892</v>
      </c>
      <c r="AM130" s="14">
        <f t="shared" si="117"/>
        <v>0.54799198514368141</v>
      </c>
      <c r="AN130" s="1">
        <f t="shared" si="140"/>
        <v>-0.51096564943031764</v>
      </c>
      <c r="AO130" s="1">
        <f t="shared" si="141"/>
        <v>-0.17332785606883128</v>
      </c>
      <c r="AP130" s="1">
        <f t="shared" si="142"/>
        <v>20.034968996835811</v>
      </c>
      <c r="AQ130" s="1">
        <f t="shared" si="143"/>
        <v>19.171117585902032</v>
      </c>
      <c r="AR130" s="1">
        <f t="shared" si="118"/>
        <v>0</v>
      </c>
      <c r="AS130" s="1">
        <f t="shared" si="144"/>
        <v>20.034968996835811</v>
      </c>
      <c r="AT130" s="1">
        <f t="shared" si="145"/>
        <v>11.567194743528962</v>
      </c>
    </row>
    <row r="131" spans="1:46" x14ac:dyDescent="0.25">
      <c r="A131" s="14">
        <f t="shared" si="119"/>
        <v>3.7350045992678695</v>
      </c>
      <c r="B131" s="14">
        <f t="shared" si="120"/>
        <v>-4.1451878627751961</v>
      </c>
      <c r="C131" s="14">
        <f t="shared" si="121"/>
        <v>-2.7959645173537515</v>
      </c>
      <c r="D131" s="14">
        <f t="shared" si="146"/>
        <v>1.1107081434219486</v>
      </c>
      <c r="E131" s="14">
        <f t="shared" si="122"/>
        <v>3.9970069573416285</v>
      </c>
      <c r="F131" s="14">
        <f t="shared" si="123"/>
        <v>6.40125492517189</v>
      </c>
      <c r="G131" s="14">
        <f t="shared" si="102"/>
        <v>2.8423308027060492</v>
      </c>
      <c r="H131" s="14">
        <f t="shared" si="103"/>
        <v>5.7356098389818815</v>
      </c>
      <c r="I131" s="14">
        <f t="shared" si="104"/>
        <v>1.1138594323491606</v>
      </c>
      <c r="J131" s="14">
        <f t="shared" si="124"/>
        <v>6.4174532567407185</v>
      </c>
      <c r="K131" s="14">
        <f t="shared" si="105"/>
        <v>5.1913208633420194E-2</v>
      </c>
      <c r="L131" s="14">
        <f t="shared" si="125"/>
        <v>0.34364571561266666</v>
      </c>
      <c r="M131" s="14">
        <f t="shared" si="126"/>
        <v>1.2373651193715778</v>
      </c>
      <c r="N131" s="14">
        <f t="shared" si="127"/>
        <v>0.30725376764173123</v>
      </c>
      <c r="O131" s="14">
        <f t="shared" si="106"/>
        <v>0.82008826399662438</v>
      </c>
      <c r="P131" s="14">
        <f t="shared" si="107"/>
        <v>0.76092257098761984</v>
      </c>
      <c r="Q131" s="14">
        <f t="shared" si="108"/>
        <v>-0.54149175994333099</v>
      </c>
      <c r="R131" s="1">
        <f t="shared" si="128"/>
        <v>0.51440807338334593</v>
      </c>
      <c r="S131" s="1">
        <f t="shared" si="129"/>
        <v>-0.16917842438276931</v>
      </c>
      <c r="T131" s="1">
        <f t="shared" si="130"/>
        <v>20.490878070656482</v>
      </c>
      <c r="U131" s="1">
        <f t="shared" si="131"/>
        <v>19.245574585703206</v>
      </c>
      <c r="V131" s="1">
        <f t="shared" si="109"/>
        <v>0</v>
      </c>
      <c r="W131" s="1">
        <f t="shared" si="132"/>
        <v>20.490878070656482</v>
      </c>
      <c r="X131" s="1">
        <f t="shared" si="133"/>
        <v>11.830413970025319</v>
      </c>
      <c r="Z131" s="14">
        <f t="shared" si="147"/>
        <v>2.0308845101678301</v>
      </c>
      <c r="AA131" s="14">
        <f t="shared" si="134"/>
        <v>3.9970069573417462</v>
      </c>
      <c r="AB131" s="14">
        <f t="shared" si="135"/>
        <v>6.4012549251719646</v>
      </c>
      <c r="AC131" s="14">
        <f t="shared" si="111"/>
        <v>-2.8423308027059986</v>
      </c>
      <c r="AD131" s="14">
        <f t="shared" si="112"/>
        <v>5.7356098389819898</v>
      </c>
      <c r="AE131" s="14">
        <f t="shared" si="113"/>
        <v>2.0277332212406183</v>
      </c>
      <c r="AF131" s="14">
        <f t="shared" si="136"/>
        <v>6.4174532567407931</v>
      </c>
      <c r="AG131" s="14">
        <f t="shared" si="114"/>
        <v>5.191320863342419E-2</v>
      </c>
      <c r="AH131" s="14">
        <f t="shared" si="137"/>
        <v>0.34364571561267993</v>
      </c>
      <c r="AI131" s="14">
        <f t="shared" si="138"/>
        <v>1.2373651193715571</v>
      </c>
      <c r="AJ131" s="14">
        <f t="shared" si="139"/>
        <v>-0.30725376764173062</v>
      </c>
      <c r="AK131" s="14">
        <f t="shared" si="115"/>
        <v>0.82008826399662649</v>
      </c>
      <c r="AL131" s="14">
        <f t="shared" si="116"/>
        <v>0.76092257098761062</v>
      </c>
      <c r="AM131" s="14">
        <f t="shared" si="117"/>
        <v>0.54166745223794177</v>
      </c>
      <c r="AN131" s="1">
        <f t="shared" si="140"/>
        <v>-0.5143338226111982</v>
      </c>
      <c r="AO131" s="1">
        <f t="shared" si="141"/>
        <v>-0.16933765567750125</v>
      </c>
      <c r="AP131" s="1">
        <f t="shared" si="142"/>
        <v>20.483891170232461</v>
      </c>
      <c r="AQ131" s="1">
        <f t="shared" si="143"/>
        <v>19.251437291275103</v>
      </c>
      <c r="AR131" s="1">
        <f t="shared" si="118"/>
        <v>0</v>
      </c>
      <c r="AS131" s="1">
        <f t="shared" si="144"/>
        <v>20.483891170232461</v>
      </c>
      <c r="AT131" s="1">
        <f t="shared" si="145"/>
        <v>11.826380081184709</v>
      </c>
    </row>
    <row r="132" spans="1:46" x14ac:dyDescent="0.25">
      <c r="A132" s="14">
        <f t="shared" si="119"/>
        <v>3.7699111843077562</v>
      </c>
      <c r="B132" s="14">
        <f t="shared" si="120"/>
        <v>-4.0450849718747248</v>
      </c>
      <c r="C132" s="14">
        <f t="shared" si="121"/>
        <v>-2.9389262614623828</v>
      </c>
      <c r="D132" s="14">
        <f t="shared" si="146"/>
        <v>1.1170107212763725</v>
      </c>
      <c r="E132" s="14">
        <f t="shared" si="122"/>
        <v>4.0489201659750487</v>
      </c>
      <c r="F132" s="14">
        <f t="shared" si="123"/>
        <v>6.4337978294658456</v>
      </c>
      <c r="G132" s="14">
        <f t="shared" si="102"/>
        <v>2.8203913327120107</v>
      </c>
      <c r="H132" s="14">
        <f t="shared" si="103"/>
        <v>5.7826591842164099</v>
      </c>
      <c r="I132" s="14">
        <f t="shared" si="104"/>
        <v>1.1201620102035843</v>
      </c>
      <c r="J132" s="14">
        <f t="shared" si="124"/>
        <v>6.4502900894598314</v>
      </c>
      <c r="K132" s="14">
        <f t="shared" si="105"/>
        <v>5.2445835749451497E-2</v>
      </c>
      <c r="L132" s="14">
        <f t="shared" si="125"/>
        <v>0.34950088014777958</v>
      </c>
      <c r="M132" s="14">
        <f t="shared" si="126"/>
        <v>1.2284248152579744</v>
      </c>
      <c r="N132" s="14">
        <f t="shared" si="127"/>
        <v>0.30698978077875605</v>
      </c>
      <c r="O132" s="14">
        <f t="shared" si="106"/>
        <v>0.82098459708523197</v>
      </c>
      <c r="P132" s="14">
        <f t="shared" si="107"/>
        <v>0.75694109832052192</v>
      </c>
      <c r="Q132" s="14">
        <f t="shared" si="108"/>
        <v>-0.53511134728809462</v>
      </c>
      <c r="R132" s="1">
        <f t="shared" si="128"/>
        <v>0.51791690594687401</v>
      </c>
      <c r="S132" s="1">
        <f t="shared" si="129"/>
        <v>-0.16507844976655844</v>
      </c>
      <c r="T132" s="1">
        <f t="shared" si="130"/>
        <v>20.958769769188468</v>
      </c>
      <c r="U132" s="1">
        <f t="shared" si="131"/>
        <v>19.325924769529379</v>
      </c>
      <c r="V132" s="1">
        <f t="shared" si="109"/>
        <v>0</v>
      </c>
      <c r="W132" s="1">
        <f t="shared" si="132"/>
        <v>20.958769769188468</v>
      </c>
      <c r="X132" s="1">
        <f t="shared" si="133"/>
        <v>12.100551368124352</v>
      </c>
      <c r="Z132" s="14">
        <f t="shared" si="147"/>
        <v>2.024581932313406</v>
      </c>
      <c r="AA132" s="14">
        <f t="shared" si="134"/>
        <v>4.0489201659751703</v>
      </c>
      <c r="AB132" s="14">
        <f t="shared" si="135"/>
        <v>6.4337978294659219</v>
      </c>
      <c r="AC132" s="14">
        <f t="shared" si="111"/>
        <v>-2.8203913327119592</v>
      </c>
      <c r="AD132" s="14">
        <f t="shared" si="112"/>
        <v>5.78265918421652</v>
      </c>
      <c r="AE132" s="14">
        <f t="shared" si="113"/>
        <v>2.0214306433861937</v>
      </c>
      <c r="AF132" s="14">
        <f t="shared" si="136"/>
        <v>6.4502900894599104</v>
      </c>
      <c r="AG132" s="14">
        <f t="shared" si="114"/>
        <v>5.2445835749453273E-2</v>
      </c>
      <c r="AH132" s="14">
        <f t="shared" si="137"/>
        <v>0.34950088014779374</v>
      </c>
      <c r="AI132" s="14">
        <f t="shared" si="138"/>
        <v>1.2284248152579531</v>
      </c>
      <c r="AJ132" s="14">
        <f t="shared" si="139"/>
        <v>-0.30698978077875522</v>
      </c>
      <c r="AK132" s="14">
        <f t="shared" si="115"/>
        <v>0.82098459708523419</v>
      </c>
      <c r="AL132" s="14">
        <f t="shared" si="116"/>
        <v>0.75694109832051248</v>
      </c>
      <c r="AM132" s="14">
        <f t="shared" si="117"/>
        <v>0.53530253757871904</v>
      </c>
      <c r="AN132" s="1">
        <f t="shared" si="140"/>
        <v>-0.5178361054385906</v>
      </c>
      <c r="AO132" s="1">
        <f t="shared" si="141"/>
        <v>-0.16525172701576113</v>
      </c>
      <c r="AP132" s="1">
        <f t="shared" si="142"/>
        <v>20.95108853846455</v>
      </c>
      <c r="AQ132" s="1">
        <f t="shared" si="143"/>
        <v>19.332370087398299</v>
      </c>
      <c r="AR132" s="1">
        <f t="shared" si="118"/>
        <v>0</v>
      </c>
      <c r="AS132" s="1">
        <f t="shared" si="144"/>
        <v>20.95108853846455</v>
      </c>
      <c r="AT132" s="1">
        <f t="shared" si="145"/>
        <v>12.096116607498191</v>
      </c>
    </row>
    <row r="133" spans="1:46" x14ac:dyDescent="0.25">
      <c r="A133" s="14">
        <f t="shared" si="119"/>
        <v>3.8048177693476428</v>
      </c>
      <c r="B133" s="14">
        <f t="shared" si="120"/>
        <v>-3.9400537680335961</v>
      </c>
      <c r="C133" s="14">
        <f t="shared" si="121"/>
        <v>-3.0783073766283087</v>
      </c>
      <c r="D133" s="14">
        <f t="shared" si="146"/>
        <v>1.1233132991307964</v>
      </c>
      <c r="E133" s="14">
        <f t="shared" si="122"/>
        <v>4.1013660017245002</v>
      </c>
      <c r="F133" s="14">
        <f t="shared" si="123"/>
        <v>6.4669315042067375</v>
      </c>
      <c r="G133" s="14">
        <f t="shared" si="102"/>
        <v>2.79822676477204</v>
      </c>
      <c r="H133" s="14">
        <f t="shared" si="103"/>
        <v>5.8301912535537816</v>
      </c>
      <c r="I133" s="14">
        <f t="shared" si="104"/>
        <v>1.1264645880580084</v>
      </c>
      <c r="J133" s="14">
        <f t="shared" si="124"/>
        <v>6.4837235629395948</v>
      </c>
      <c r="K133" s="14">
        <f t="shared" si="105"/>
        <v>5.2990933742776747E-2</v>
      </c>
      <c r="L133" s="14">
        <f t="shared" si="125"/>
        <v>0.35545182163846167</v>
      </c>
      <c r="M133" s="14">
        <f t="shared" si="126"/>
        <v>1.2196564375214256</v>
      </c>
      <c r="N133" s="14">
        <f t="shared" si="127"/>
        <v>0.30656708051385784</v>
      </c>
      <c r="O133" s="14">
        <f t="shared" si="106"/>
        <v>0.82200653313321714</v>
      </c>
      <c r="P133" s="14">
        <f t="shared" si="107"/>
        <v>0.75310172602667003</v>
      </c>
      <c r="Q133" s="14">
        <f t="shared" si="108"/>
        <v>-0.52868592876352205</v>
      </c>
      <c r="R133" s="1">
        <f t="shared" si="128"/>
        <v>0.52155859375282776</v>
      </c>
      <c r="S133" s="1">
        <f t="shared" si="129"/>
        <v>-0.16087763176777187</v>
      </c>
      <c r="T133" s="1">
        <f t="shared" si="130"/>
        <v>21.445578721049561</v>
      </c>
      <c r="U133" s="1">
        <f t="shared" si="131"/>
        <v>19.406596057529939</v>
      </c>
      <c r="V133" s="1">
        <f t="shared" si="109"/>
        <v>0</v>
      </c>
      <c r="W133" s="1">
        <f t="shared" si="132"/>
        <v>21.445578721049561</v>
      </c>
      <c r="X133" s="1">
        <f t="shared" si="133"/>
        <v>12.381610647525273</v>
      </c>
      <c r="Z133" s="14">
        <f t="shared" si="147"/>
        <v>2.0182793544589819</v>
      </c>
      <c r="AA133" s="14">
        <f t="shared" si="134"/>
        <v>4.1013660017246236</v>
      </c>
      <c r="AB133" s="14">
        <f t="shared" si="135"/>
        <v>6.4669315042068165</v>
      </c>
      <c r="AC133" s="14">
        <f t="shared" si="111"/>
        <v>-2.7982267647719867</v>
      </c>
      <c r="AD133" s="14">
        <f t="shared" si="112"/>
        <v>5.8301912535538944</v>
      </c>
      <c r="AE133" s="14">
        <f t="shared" si="113"/>
        <v>2.01512806553177</v>
      </c>
      <c r="AF133" s="14">
        <f t="shared" si="136"/>
        <v>6.483723562939673</v>
      </c>
      <c r="AG133" s="14">
        <f t="shared" si="114"/>
        <v>5.2990933742782076E-2</v>
      </c>
      <c r="AH133" s="14">
        <f t="shared" si="137"/>
        <v>0.35545182163847555</v>
      </c>
      <c r="AI133" s="14">
        <f t="shared" si="138"/>
        <v>1.2196564375214054</v>
      </c>
      <c r="AJ133" s="14">
        <f t="shared" si="139"/>
        <v>-0.30656708051385667</v>
      </c>
      <c r="AK133" s="14">
        <f t="shared" si="115"/>
        <v>0.82200653313321981</v>
      </c>
      <c r="AL133" s="14">
        <f t="shared" si="116"/>
        <v>0.75310172602666103</v>
      </c>
      <c r="AM133" s="14">
        <f t="shared" si="117"/>
        <v>0.52889256595625711</v>
      </c>
      <c r="AN133" s="1">
        <f t="shared" si="140"/>
        <v>-0.52147126510162556</v>
      </c>
      <c r="AO133" s="1">
        <f t="shared" si="141"/>
        <v>-0.16106490866464279</v>
      </c>
      <c r="AP133" s="1">
        <f t="shared" si="142"/>
        <v>21.437190612697751</v>
      </c>
      <c r="AQ133" s="1">
        <f t="shared" si="143"/>
        <v>19.41363451615824</v>
      </c>
      <c r="AR133" s="1">
        <f t="shared" si="118"/>
        <v>0</v>
      </c>
      <c r="AS133" s="1">
        <f t="shared" si="144"/>
        <v>21.437190612697751</v>
      </c>
      <c r="AT133" s="1">
        <f t="shared" si="145"/>
        <v>12.376767770910364</v>
      </c>
    </row>
    <row r="134" spans="1:46" x14ac:dyDescent="0.25">
      <c r="A134" s="14">
        <f t="shared" si="119"/>
        <v>3.8397243543875295</v>
      </c>
      <c r="B134" s="14">
        <f t="shared" si="120"/>
        <v>-3.8302222155948762</v>
      </c>
      <c r="C134" s="14">
        <f t="shared" si="121"/>
        <v>-3.2139380484327136</v>
      </c>
      <c r="D134" s="14">
        <f t="shared" si="146"/>
        <v>1.1296158769852203</v>
      </c>
      <c r="E134" s="14">
        <f t="shared" si="122"/>
        <v>4.1543569354672769</v>
      </c>
      <c r="F134" s="14">
        <f t="shared" si="123"/>
        <v>6.5006677770260701</v>
      </c>
      <c r="G134" s="14">
        <f t="shared" si="102"/>
        <v>2.77583182846565</v>
      </c>
      <c r="H134" s="14">
        <f t="shared" si="103"/>
        <v>5.8782173494472039</v>
      </c>
      <c r="I134" s="14">
        <f t="shared" si="104"/>
        <v>1.1327671659124321</v>
      </c>
      <c r="J134" s="14">
        <f t="shared" si="124"/>
        <v>6.5177656803625075</v>
      </c>
      <c r="K134" s="14">
        <f t="shared" si="105"/>
        <v>5.3548850732566322E-2</v>
      </c>
      <c r="L134" s="14">
        <f t="shared" si="125"/>
        <v>0.36150013911833329</v>
      </c>
      <c r="M134" s="14">
        <f t="shared" si="126"/>
        <v>1.211056896491838</v>
      </c>
      <c r="N134" s="14">
        <f t="shared" si="127"/>
        <v>0.3059856790802335</v>
      </c>
      <c r="O134" s="14">
        <f t="shared" si="106"/>
        <v>0.82315015762735977</v>
      </c>
      <c r="P134" s="14">
        <f t="shared" si="107"/>
        <v>0.74940687798281147</v>
      </c>
      <c r="Q134" s="14">
        <f t="shared" si="108"/>
        <v>-0.52221105788632438</v>
      </c>
      <c r="R134" s="1">
        <f t="shared" si="128"/>
        <v>0.52533146821243182</v>
      </c>
      <c r="S134" s="1">
        <f t="shared" si="129"/>
        <v>-0.15657091612940233</v>
      </c>
      <c r="T134" s="1">
        <f t="shared" si="130"/>
        <v>21.951937532434531</v>
      </c>
      <c r="U134" s="1">
        <f t="shared" si="131"/>
        <v>19.487289584502065</v>
      </c>
      <c r="V134" s="1">
        <f t="shared" si="109"/>
        <v>0</v>
      </c>
      <c r="W134" s="1">
        <f t="shared" si="132"/>
        <v>21.951937532434531</v>
      </c>
      <c r="X134" s="1">
        <f t="shared" si="133"/>
        <v>12.673957043584926</v>
      </c>
      <c r="Z134" s="14">
        <f t="shared" si="147"/>
        <v>2.0119767766045578</v>
      </c>
      <c r="AA134" s="14">
        <f t="shared" si="134"/>
        <v>4.1543569354674057</v>
      </c>
      <c r="AB134" s="14">
        <f t="shared" si="135"/>
        <v>6.5006677770261518</v>
      </c>
      <c r="AC134" s="14">
        <f t="shared" si="111"/>
        <v>-2.7758318284655954</v>
      </c>
      <c r="AD134" s="14">
        <f t="shared" si="112"/>
        <v>5.8782173494473202</v>
      </c>
      <c r="AE134" s="14">
        <f t="shared" si="113"/>
        <v>2.0088254876773455</v>
      </c>
      <c r="AF134" s="14">
        <f t="shared" si="136"/>
        <v>6.5177656803625919</v>
      </c>
      <c r="AG134" s="14">
        <f t="shared" si="114"/>
        <v>5.3548850732569875E-2</v>
      </c>
      <c r="AH134" s="14">
        <f t="shared" si="137"/>
        <v>0.36150013911834833</v>
      </c>
      <c r="AI134" s="14">
        <f t="shared" si="138"/>
        <v>1.2110568964918167</v>
      </c>
      <c r="AJ134" s="14">
        <f t="shared" si="139"/>
        <v>-0.30598567908023178</v>
      </c>
      <c r="AK134" s="14">
        <f t="shared" si="115"/>
        <v>0.82315015762736277</v>
      </c>
      <c r="AL134" s="14">
        <f t="shared" si="116"/>
        <v>0.74940687798280237</v>
      </c>
      <c r="AM134" s="14">
        <f t="shared" si="117"/>
        <v>0.5224330710016114</v>
      </c>
      <c r="AN134" s="1">
        <f t="shared" si="140"/>
        <v>-0.52523764141556828</v>
      </c>
      <c r="AO134" s="1">
        <f t="shared" si="141"/>
        <v>-0.15677212834461501</v>
      </c>
      <c r="AP134" s="1">
        <f t="shared" si="142"/>
        <v>21.942830376938797</v>
      </c>
      <c r="AQ134" s="1">
        <f t="shared" si="143"/>
        <v>19.494931395322414</v>
      </c>
      <c r="AR134" s="1">
        <f t="shared" si="118"/>
        <v>0</v>
      </c>
      <c r="AS134" s="1">
        <f t="shared" si="144"/>
        <v>21.942830376938797</v>
      </c>
      <c r="AT134" s="1">
        <f t="shared" si="145"/>
        <v>12.668699024907911</v>
      </c>
    </row>
    <row r="135" spans="1:46" x14ac:dyDescent="0.25">
      <c r="A135" s="14">
        <f t="shared" si="119"/>
        <v>3.8746309394274161</v>
      </c>
      <c r="B135" s="14">
        <f t="shared" si="120"/>
        <v>-3.7157241273869563</v>
      </c>
      <c r="C135" s="14">
        <f t="shared" si="121"/>
        <v>-3.3456530317943072</v>
      </c>
      <c r="D135" s="14">
        <f t="shared" si="146"/>
        <v>1.1359184548396442</v>
      </c>
      <c r="E135" s="14">
        <f t="shared" si="122"/>
        <v>4.2079057861998432</v>
      </c>
      <c r="F135" s="14">
        <f t="shared" si="123"/>
        <v>6.5350188297765541</v>
      </c>
      <c r="G135" s="14">
        <f t="shared" si="102"/>
        <v>2.7532011062508408</v>
      </c>
      <c r="H135" s="14">
        <f t="shared" si="103"/>
        <v>5.9267490898529918</v>
      </c>
      <c r="I135" s="14">
        <f t="shared" si="104"/>
        <v>1.1390697437668562</v>
      </c>
      <c r="J135" s="14">
        <f t="shared" si="124"/>
        <v>6.5524288054386126</v>
      </c>
      <c r="K135" s="14">
        <f t="shared" si="105"/>
        <v>5.4119947680404401E-2</v>
      </c>
      <c r="L135" s="14">
        <f t="shared" si="125"/>
        <v>0.36764735741800242</v>
      </c>
      <c r="M135" s="14">
        <f t="shared" si="126"/>
        <v>1.202623040938686</v>
      </c>
      <c r="N135" s="14">
        <f t="shared" si="127"/>
        <v>0.30524574033142349</v>
      </c>
      <c r="O135" s="14">
        <f t="shared" si="106"/>
        <v>0.82441119583346911</v>
      </c>
      <c r="P135" s="14">
        <f t="shared" si="107"/>
        <v>0.74585920252321947</v>
      </c>
      <c r="Q135" s="14">
        <f t="shared" si="108"/>
        <v>-0.51568251482373695</v>
      </c>
      <c r="R135" s="1">
        <f t="shared" si="128"/>
        <v>0.52923343847918947</v>
      </c>
      <c r="S135" s="1">
        <f t="shared" si="129"/>
        <v>-0.15215335914972816</v>
      </c>
      <c r="T135" s="1">
        <f t="shared" si="130"/>
        <v>22.47848204884956</v>
      </c>
      <c r="U135" s="1">
        <f t="shared" si="131"/>
        <v>19.567688924555419</v>
      </c>
      <c r="V135" s="1">
        <f t="shared" si="109"/>
        <v>0</v>
      </c>
      <c r="W135" s="1">
        <f t="shared" si="132"/>
        <v>22.47848204884956</v>
      </c>
      <c r="X135" s="1">
        <f t="shared" si="133"/>
        <v>12.977957661877463</v>
      </c>
      <c r="Z135" s="14">
        <f t="shared" si="147"/>
        <v>2.0056741987501336</v>
      </c>
      <c r="AA135" s="14">
        <f t="shared" si="134"/>
        <v>4.2079057861999756</v>
      </c>
      <c r="AB135" s="14">
        <f t="shared" si="135"/>
        <v>6.5350188297766385</v>
      </c>
      <c r="AC135" s="14">
        <f t="shared" si="111"/>
        <v>-2.7532011062507848</v>
      </c>
      <c r="AD135" s="14">
        <f t="shared" si="112"/>
        <v>5.9267490898531117</v>
      </c>
      <c r="AE135" s="14">
        <f t="shared" si="113"/>
        <v>2.0025229098229218</v>
      </c>
      <c r="AF135" s="14">
        <f t="shared" si="136"/>
        <v>6.552428805438697</v>
      </c>
      <c r="AG135" s="14">
        <f t="shared" si="114"/>
        <v>5.4119947680403513E-2</v>
      </c>
      <c r="AH135" s="14">
        <f t="shared" si="137"/>
        <v>0.36764735741801724</v>
      </c>
      <c r="AI135" s="14">
        <f t="shared" si="138"/>
        <v>1.202623040938666</v>
      </c>
      <c r="AJ135" s="14">
        <f t="shared" si="139"/>
        <v>-0.30524574033142149</v>
      </c>
      <c r="AK135" s="14">
        <f t="shared" si="115"/>
        <v>0.82441119583347222</v>
      </c>
      <c r="AL135" s="14">
        <f t="shared" si="116"/>
        <v>0.74585920252321092</v>
      </c>
      <c r="AM135" s="14">
        <f t="shared" si="117"/>
        <v>0.51591981114938612</v>
      </c>
      <c r="AN135" s="1">
        <f t="shared" si="140"/>
        <v>-0.52913315271852901</v>
      </c>
      <c r="AO135" s="1">
        <f t="shared" si="141"/>
        <v>-0.15236842265750278</v>
      </c>
      <c r="AP135" s="1">
        <f t="shared" si="142"/>
        <v>22.468644150107735</v>
      </c>
      <c r="AQ135" s="1">
        <f t="shared" si="143"/>
        <v>19.575943901760905</v>
      </c>
      <c r="AR135" s="1">
        <f t="shared" si="118"/>
        <v>0</v>
      </c>
      <c r="AS135" s="1">
        <f t="shared" si="144"/>
        <v>22.468644150107735</v>
      </c>
      <c r="AT135" s="1">
        <f t="shared" si="145"/>
        <v>12.97227774839061</v>
      </c>
    </row>
    <row r="136" spans="1:46" x14ac:dyDescent="0.25">
      <c r="A136" s="14">
        <f t="shared" si="119"/>
        <v>3.9095375244673027</v>
      </c>
      <c r="B136" s="14">
        <f t="shared" si="120"/>
        <v>-3.5966990016932399</v>
      </c>
      <c r="C136" s="14">
        <f t="shared" si="121"/>
        <v>-3.4732918522950023</v>
      </c>
      <c r="D136" s="14">
        <f t="shared" si="146"/>
        <v>1.1422210326940681</v>
      </c>
      <c r="E136" s="14">
        <f t="shared" si="122"/>
        <v>4.2620257338802476</v>
      </c>
      <c r="F136" s="14">
        <f t="shared" si="123"/>
        <v>6.5699972112823195</v>
      </c>
      <c r="G136" s="14">
        <f t="shared" si="102"/>
        <v>2.7303290280366515</v>
      </c>
      <c r="H136" s="14">
        <f t="shared" si="103"/>
        <v>5.9757984198697578</v>
      </c>
      <c r="I136" s="14">
        <f t="shared" si="104"/>
        <v>1.1453723216212799</v>
      </c>
      <c r="J136" s="14">
        <f t="shared" si="124"/>
        <v>6.5877256754343039</v>
      </c>
      <c r="K136" s="14">
        <f t="shared" si="105"/>
        <v>5.4704598953148498E-2</v>
      </c>
      <c r="L136" s="14">
        <f t="shared" si="125"/>
        <v>0.37389492296497573</v>
      </c>
      <c r="M136" s="14">
        <f t="shared" si="126"/>
        <v>1.1943516638207541</v>
      </c>
      <c r="N136" s="14">
        <f t="shared" si="127"/>
        <v>0.30434757888187103</v>
      </c>
      <c r="O136" s="14">
        <f t="shared" si="106"/>
        <v>0.82578502755657679</v>
      </c>
      <c r="P136" s="14">
        <f t="shared" si="107"/>
        <v>0.74246155922915302</v>
      </c>
      <c r="Q136" s="14">
        <f t="shared" si="108"/>
        <v>-0.50909632151651851</v>
      </c>
      <c r="R136" s="1">
        <f t="shared" si="128"/>
        <v>0.53326199843490485</v>
      </c>
      <c r="S136" s="1">
        <f t="shared" si="129"/>
        <v>-0.14762014697142073</v>
      </c>
      <c r="T136" s="1">
        <f t="shared" si="130"/>
        <v>23.025851246545116</v>
      </c>
      <c r="U136" s="1">
        <f t="shared" si="131"/>
        <v>19.647460190774183</v>
      </c>
      <c r="V136" s="1">
        <f t="shared" si="109"/>
        <v>0</v>
      </c>
      <c r="W136" s="1">
        <f t="shared" si="132"/>
        <v>23.025851246545116</v>
      </c>
      <c r="X136" s="1">
        <f t="shared" si="133"/>
        <v>13.293981415513102</v>
      </c>
      <c r="Z136" s="14">
        <f t="shared" si="147"/>
        <v>1.9993716208957097</v>
      </c>
      <c r="AA136" s="14">
        <f t="shared" si="134"/>
        <v>4.2620257338803791</v>
      </c>
      <c r="AB136" s="14">
        <f t="shared" si="135"/>
        <v>6.5699972112824065</v>
      </c>
      <c r="AC136" s="14">
        <f t="shared" si="111"/>
        <v>-2.7303290280365955</v>
      </c>
      <c r="AD136" s="14">
        <f t="shared" si="112"/>
        <v>5.9757984198698786</v>
      </c>
      <c r="AE136" s="14">
        <f t="shared" si="113"/>
        <v>1.9962203319684977</v>
      </c>
      <c r="AF136" s="14">
        <f t="shared" si="136"/>
        <v>6.5877256754343927</v>
      </c>
      <c r="AG136" s="14">
        <f t="shared" si="114"/>
        <v>5.4704598953151162E-2</v>
      </c>
      <c r="AH136" s="14">
        <f t="shared" si="137"/>
        <v>0.37389492296499149</v>
      </c>
      <c r="AI136" s="14">
        <f t="shared" si="138"/>
        <v>1.1943516638207337</v>
      </c>
      <c r="AJ136" s="14">
        <f t="shared" si="139"/>
        <v>-0.30434757888186864</v>
      </c>
      <c r="AK136" s="14">
        <f t="shared" si="115"/>
        <v>0.82578502755658034</v>
      </c>
      <c r="AL136" s="14">
        <f t="shared" si="116"/>
        <v>0.74246155922914492</v>
      </c>
      <c r="AM136" s="14">
        <f t="shared" si="117"/>
        <v>0.50934878484856672</v>
      </c>
      <c r="AN136" s="1">
        <f t="shared" si="140"/>
        <v>-0.5331553028203645</v>
      </c>
      <c r="AO136" s="1">
        <f t="shared" si="141"/>
        <v>-0.14784895645520063</v>
      </c>
      <c r="AP136" s="1">
        <f t="shared" si="142"/>
        <v>23.015271479263774</v>
      </c>
      <c r="AQ136" s="1">
        <f t="shared" si="143"/>
        <v>19.656337669600102</v>
      </c>
      <c r="AR136" s="1">
        <f t="shared" si="118"/>
        <v>0</v>
      </c>
      <c r="AS136" s="1">
        <f t="shared" si="144"/>
        <v>23.015271479263774</v>
      </c>
      <c r="AT136" s="1">
        <f t="shared" si="145"/>
        <v>13.287873184025255</v>
      </c>
    </row>
    <row r="137" spans="1:46" x14ac:dyDescent="0.25">
      <c r="A137" s="14">
        <f t="shared" si="119"/>
        <v>3.9444441095071894</v>
      </c>
      <c r="B137" s="14">
        <f t="shared" si="120"/>
        <v>-3.4732918522949703</v>
      </c>
      <c r="C137" s="14">
        <f t="shared" si="121"/>
        <v>-3.5966990016932714</v>
      </c>
      <c r="D137" s="14">
        <f t="shared" si="146"/>
        <v>1.1485236105484919</v>
      </c>
      <c r="E137" s="14">
        <f t="shared" si="122"/>
        <v>4.3167303328333961</v>
      </c>
      <c r="F137" s="14">
        <f t="shared" si="123"/>
        <v>6.6056158506534368</v>
      </c>
      <c r="G137" s="14">
        <f t="shared" si="102"/>
        <v>2.7072098655178491</v>
      </c>
      <c r="H137" s="14">
        <f t="shared" si="103"/>
        <v>6.0253776238877146</v>
      </c>
      <c r="I137" s="14">
        <f t="shared" si="104"/>
        <v>1.151674899475704</v>
      </c>
      <c r="J137" s="14">
        <f t="shared" si="124"/>
        <v>6.6236694147798394</v>
      </c>
      <c r="K137" s="14">
        <f t="shared" si="105"/>
        <v>5.5303192914972321E-2</v>
      </c>
      <c r="L137" s="14">
        <f t="shared" si="125"/>
        <v>0.38024419966736817</v>
      </c>
      <c r="M137" s="14">
        <f t="shared" si="126"/>
        <v>1.1862395080319794</v>
      </c>
      <c r="N137" s="14">
        <f t="shared" si="127"/>
        <v>0.30329165905438382</v>
      </c>
      <c r="O137" s="14">
        <f t="shared" si="106"/>
        <v>0.82726670266962721</v>
      </c>
      <c r="P137" s="14">
        <f t="shared" si="107"/>
        <v>0.73921700502972043</v>
      </c>
      <c r="Q137" s="14">
        <f t="shared" si="108"/>
        <v>-0.50244875600879146</v>
      </c>
      <c r="R137" s="1">
        <f t="shared" si="128"/>
        <v>0.53741423470740379</v>
      </c>
      <c r="S137" s="1">
        <f t="shared" si="129"/>
        <v>-0.14296661444281916</v>
      </c>
      <c r="T137" s="1">
        <f t="shared" si="130"/>
        <v>23.594687157356329</v>
      </c>
      <c r="U137" s="1">
        <f t="shared" si="131"/>
        <v>19.726252149002299</v>
      </c>
      <c r="V137" s="1">
        <f t="shared" si="109"/>
        <v>0</v>
      </c>
      <c r="W137" s="1">
        <f t="shared" si="132"/>
        <v>23.594687157356329</v>
      </c>
      <c r="X137" s="1">
        <f t="shared" si="133"/>
        <v>13.622398981744682</v>
      </c>
      <c r="Z137" s="14">
        <f t="shared" si="147"/>
        <v>1.9930690430412858</v>
      </c>
      <c r="AA137" s="14">
        <f t="shared" si="134"/>
        <v>4.3167303328335302</v>
      </c>
      <c r="AB137" s="14">
        <f t="shared" si="135"/>
        <v>6.6056158506535247</v>
      </c>
      <c r="AC137" s="14">
        <f t="shared" si="111"/>
        <v>-2.7072098655177927</v>
      </c>
      <c r="AD137" s="14">
        <f t="shared" si="112"/>
        <v>6.0253776238878363</v>
      </c>
      <c r="AE137" s="14">
        <f t="shared" si="113"/>
        <v>1.989917754114074</v>
      </c>
      <c r="AF137" s="14">
        <f t="shared" si="136"/>
        <v>6.6236694147799264</v>
      </c>
      <c r="AG137" s="14">
        <f t="shared" si="114"/>
        <v>5.5303192914972321E-2</v>
      </c>
      <c r="AH137" s="14">
        <f t="shared" si="137"/>
        <v>0.38024419966738343</v>
      </c>
      <c r="AI137" s="14">
        <f t="shared" si="138"/>
        <v>1.1862395080319601</v>
      </c>
      <c r="AJ137" s="14">
        <f t="shared" si="139"/>
        <v>-0.30329165905438094</v>
      </c>
      <c r="AK137" s="14">
        <f t="shared" si="115"/>
        <v>0.82726670266963109</v>
      </c>
      <c r="AL137" s="14">
        <f t="shared" si="116"/>
        <v>0.73921700502971244</v>
      </c>
      <c r="AM137" s="14">
        <f t="shared" si="117"/>
        <v>0.50271624498481982</v>
      </c>
      <c r="AN137" s="1">
        <f t="shared" si="140"/>
        <v>-0.5373011889813234</v>
      </c>
      <c r="AO137" s="1">
        <f t="shared" si="141"/>
        <v>-0.14320904178474342</v>
      </c>
      <c r="AP137" s="1">
        <f t="shared" si="142"/>
        <v>23.583355066165566</v>
      </c>
      <c r="AQ137" s="1">
        <f t="shared" si="143"/>
        <v>19.735760902541262</v>
      </c>
      <c r="AR137" s="1">
        <f t="shared" si="118"/>
        <v>0</v>
      </c>
      <c r="AS137" s="1">
        <f t="shared" si="144"/>
        <v>23.583355066165566</v>
      </c>
      <c r="AT137" s="1">
        <f t="shared" si="145"/>
        <v>13.615856395845213</v>
      </c>
    </row>
    <row r="138" spans="1:46" x14ac:dyDescent="0.25">
      <c r="A138" s="14">
        <f t="shared" si="119"/>
        <v>3.979350694547076</v>
      </c>
      <c r="B138" s="14">
        <f t="shared" si="120"/>
        <v>-3.3456530317942739</v>
      </c>
      <c r="C138" s="14">
        <f t="shared" si="121"/>
        <v>-3.715724127386987</v>
      </c>
      <c r="D138" s="14">
        <f t="shared" si="146"/>
        <v>1.1548261884029158</v>
      </c>
      <c r="E138" s="14">
        <f t="shared" si="122"/>
        <v>4.3720335257483685</v>
      </c>
      <c r="F138" s="14">
        <f t="shared" si="123"/>
        <v>6.6418880711938915</v>
      </c>
      <c r="G138" s="14">
        <f t="shared" si="102"/>
        <v>2.683837726259414</v>
      </c>
      <c r="H138" s="14">
        <f t="shared" si="103"/>
        <v>6.0754993382745432</v>
      </c>
      <c r="I138" s="14">
        <f t="shared" si="104"/>
        <v>1.1579774773301277</v>
      </c>
      <c r="J138" s="14">
        <f t="shared" si="124"/>
        <v>6.6602735492855025</v>
      </c>
      <c r="K138" s="14">
        <f t="shared" si="105"/>
        <v>5.5916132550297704E-2</v>
      </c>
      <c r="L138" s="14">
        <f t="shared" si="125"/>
        <v>0.38669646488786985</v>
      </c>
      <c r="M138" s="14">
        <f t="shared" si="126"/>
        <v>1.1782832721358276</v>
      </c>
      <c r="N138" s="14">
        <f t="shared" si="127"/>
        <v>0.30207859363655548</v>
      </c>
      <c r="O138" s="14">
        <f t="shared" si="106"/>
        <v>0.82885095736709513</v>
      </c>
      <c r="P138" s="14">
        <f t="shared" si="107"/>
        <v>0.73612877965660239</v>
      </c>
      <c r="Q138" s="14">
        <f t="shared" si="108"/>
        <v>-0.49573636595054127</v>
      </c>
      <c r="R138" s="1">
        <f t="shared" si="128"/>
        <v>0.54168683569491161</v>
      </c>
      <c r="S138" s="1">
        <f t="shared" si="129"/>
        <v>-0.13818826350245028</v>
      </c>
      <c r="T138" s="1">
        <f t="shared" si="130"/>
        <v>24.185634829207675</v>
      </c>
      <c r="U138" s="1">
        <f t="shared" si="131"/>
        <v>19.803696344923647</v>
      </c>
      <c r="V138" s="1">
        <f t="shared" si="109"/>
        <v>0</v>
      </c>
      <c r="W138" s="1">
        <f t="shared" si="132"/>
        <v>24.185634829207675</v>
      </c>
      <c r="X138" s="1">
        <f t="shared" si="133"/>
        <v>13.963582779165039</v>
      </c>
      <c r="Z138" s="14">
        <f t="shared" si="147"/>
        <v>1.986766465186862</v>
      </c>
      <c r="AA138" s="14">
        <f t="shared" si="134"/>
        <v>4.3720335257485026</v>
      </c>
      <c r="AB138" s="14">
        <f t="shared" si="135"/>
        <v>6.6418880711939803</v>
      </c>
      <c r="AC138" s="14">
        <f t="shared" si="111"/>
        <v>-2.6838377262593562</v>
      </c>
      <c r="AD138" s="14">
        <f t="shared" si="112"/>
        <v>6.0754993382746658</v>
      </c>
      <c r="AE138" s="14">
        <f t="shared" si="113"/>
        <v>1.9836151762596499</v>
      </c>
      <c r="AF138" s="14">
        <f t="shared" si="136"/>
        <v>6.660273549285594</v>
      </c>
      <c r="AG138" s="14">
        <f t="shared" si="114"/>
        <v>5.5916132550301256E-2</v>
      </c>
      <c r="AH138" s="14">
        <f t="shared" si="137"/>
        <v>0.386696464887886</v>
      </c>
      <c r="AI138" s="14">
        <f t="shared" si="138"/>
        <v>1.1782832721358081</v>
      </c>
      <c r="AJ138" s="14">
        <f t="shared" si="139"/>
        <v>-0.30207859363655226</v>
      </c>
      <c r="AK138" s="14">
        <f t="shared" si="115"/>
        <v>0.82885095736709902</v>
      </c>
      <c r="AL138" s="14">
        <f t="shared" si="116"/>
        <v>0.73612877965659484</v>
      </c>
      <c r="AM138" s="14">
        <f t="shared" si="117"/>
        <v>0.49601871247977125</v>
      </c>
      <c r="AN138" s="1">
        <f t="shared" si="140"/>
        <v>-0.54156751089552346</v>
      </c>
      <c r="AO138" s="1">
        <f t="shared" si="141"/>
        <v>-0.13844415636053736</v>
      </c>
      <c r="AP138" s="1">
        <f t="shared" si="142"/>
        <v>24.173540729473125</v>
      </c>
      <c r="AQ138" s="1">
        <f t="shared" si="143"/>
        <v>19.813844499553216</v>
      </c>
      <c r="AR138" s="1">
        <f t="shared" si="118"/>
        <v>0</v>
      </c>
      <c r="AS138" s="1">
        <f t="shared" si="144"/>
        <v>24.173540729473125</v>
      </c>
      <c r="AT138" s="1">
        <f t="shared" si="145"/>
        <v>13.956600247427691</v>
      </c>
    </row>
    <row r="139" spans="1:46" x14ac:dyDescent="0.25">
      <c r="A139" s="14">
        <f t="shared" si="119"/>
        <v>4.0142572795869622</v>
      </c>
      <c r="B139" s="14">
        <f t="shared" si="120"/>
        <v>-3.2139380484326807</v>
      </c>
      <c r="C139" s="14">
        <f t="shared" si="121"/>
        <v>-3.8302222155949033</v>
      </c>
      <c r="D139" s="14">
        <f t="shared" si="146"/>
        <v>1.1611287662573397</v>
      </c>
      <c r="E139" s="14">
        <f t="shared" si="122"/>
        <v>4.4279496582986662</v>
      </c>
      <c r="F139" s="14">
        <f t="shared" si="123"/>
        <v>6.6788276049339146</v>
      </c>
      <c r="G139" s="14">
        <f t="shared" si="102"/>
        <v>2.6602065475177441</v>
      </c>
      <c r="H139" s="14">
        <f t="shared" si="103"/>
        <v>6.1261765646258528</v>
      </c>
      <c r="I139" s="14">
        <f t="shared" si="104"/>
        <v>1.1642800551845518</v>
      </c>
      <c r="J139" s="14">
        <f t="shared" si="124"/>
        <v>6.6975520209982919</v>
      </c>
      <c r="K139" s="14">
        <f t="shared" si="105"/>
        <v>5.6543836119568702E-2</v>
      </c>
      <c r="L139" s="14">
        <f t="shared" si="125"/>
        <v>0.39325290551435832</v>
      </c>
      <c r="M139" s="14">
        <f t="shared" si="126"/>
        <v>1.1704796160806443</v>
      </c>
      <c r="N139" s="14">
        <f t="shared" si="127"/>
        <v>0.30070914244847036</v>
      </c>
      <c r="O139" s="14">
        <f t="shared" si="106"/>
        <v>0.83053223109834262</v>
      </c>
      <c r="P139" s="14">
        <f t="shared" si="107"/>
        <v>0.73320029049666002</v>
      </c>
      <c r="Q139" s="14">
        <f t="shared" si="108"/>
        <v>-0.48895598124084172</v>
      </c>
      <c r="R139" s="1">
        <f t="shared" si="128"/>
        <v>0.54607610156962783</v>
      </c>
      <c r="S139" s="1">
        <f t="shared" si="129"/>
        <v>-0.13328078103924668</v>
      </c>
      <c r="T139" s="1">
        <f t="shared" si="130"/>
        <v>24.799342324678786</v>
      </c>
      <c r="U139" s="1">
        <f t="shared" si="131"/>
        <v>19.879407243591309</v>
      </c>
      <c r="V139" s="1">
        <f t="shared" si="109"/>
        <v>0</v>
      </c>
      <c r="W139" s="1">
        <f t="shared" si="132"/>
        <v>24.799342324678786</v>
      </c>
      <c r="X139" s="1">
        <f t="shared" si="133"/>
        <v>14.317906966878976</v>
      </c>
      <c r="Z139" s="14">
        <f t="shared" si="147"/>
        <v>1.9804638873324381</v>
      </c>
      <c r="AA139" s="14">
        <f t="shared" si="134"/>
        <v>4.4279496582988038</v>
      </c>
      <c r="AB139" s="14">
        <f t="shared" si="135"/>
        <v>6.6788276049340043</v>
      </c>
      <c r="AC139" s="14">
        <f t="shared" si="111"/>
        <v>-2.660206547517685</v>
      </c>
      <c r="AD139" s="14">
        <f t="shared" si="112"/>
        <v>6.1261765646259763</v>
      </c>
      <c r="AE139" s="14">
        <f t="shared" si="113"/>
        <v>1.9773125984052262</v>
      </c>
      <c r="AF139" s="14">
        <f t="shared" si="136"/>
        <v>6.6975520209983825</v>
      </c>
      <c r="AG139" s="14">
        <f t="shared" si="114"/>
        <v>5.654383611956959E-2</v>
      </c>
      <c r="AH139" s="14">
        <f t="shared" si="137"/>
        <v>0.39325290551437431</v>
      </c>
      <c r="AI139" s="14">
        <f t="shared" si="138"/>
        <v>1.1704796160806257</v>
      </c>
      <c r="AJ139" s="14">
        <f t="shared" si="139"/>
        <v>-0.30070914244846692</v>
      </c>
      <c r="AK139" s="14">
        <f t="shared" si="115"/>
        <v>0.83053223109834695</v>
      </c>
      <c r="AL139" s="14">
        <f t="shared" si="116"/>
        <v>0.73320029049665325</v>
      </c>
      <c r="AM139" s="14">
        <f t="shared" si="117"/>
        <v>0.48925298903508363</v>
      </c>
      <c r="AN139" s="1">
        <f t="shared" si="140"/>
        <v>-0.54595058065190571</v>
      </c>
      <c r="AO139" s="1">
        <f t="shared" si="141"/>
        <v>-0.13354996151598153</v>
      </c>
      <c r="AP139" s="1">
        <f t="shared" si="142"/>
        <v>24.78647740490975</v>
      </c>
      <c r="AQ139" s="1">
        <f t="shared" si="143"/>
        <v>19.890202193025615</v>
      </c>
      <c r="AR139" s="1">
        <f t="shared" si="118"/>
        <v>0</v>
      </c>
      <c r="AS139" s="1">
        <f t="shared" si="144"/>
        <v>24.78647740490975</v>
      </c>
      <c r="AT139" s="1">
        <f t="shared" si="145"/>
        <v>14.310479401987219</v>
      </c>
    </row>
    <row r="140" spans="1:46" x14ac:dyDescent="0.25">
      <c r="A140" s="14">
        <f t="shared" si="119"/>
        <v>4.0491638646268484</v>
      </c>
      <c r="B140" s="14">
        <f t="shared" si="120"/>
        <v>-3.0783073766282767</v>
      </c>
      <c r="C140" s="14">
        <f t="shared" si="121"/>
        <v>-3.9400537680336214</v>
      </c>
      <c r="D140" s="14">
        <f t="shared" si="146"/>
        <v>1.1674313441117636</v>
      </c>
      <c r="E140" s="14">
        <f t="shared" si="122"/>
        <v>4.4844934944182349</v>
      </c>
      <c r="F140" s="14">
        <f t="shared" si="123"/>
        <v>6.7164486078194239</v>
      </c>
      <c r="G140" s="14">
        <f t="shared" si="102"/>
        <v>2.6363100897847409</v>
      </c>
      <c r="H140" s="14">
        <f t="shared" si="103"/>
        <v>6.1774226836099411</v>
      </c>
      <c r="I140" s="14">
        <f t="shared" si="104"/>
        <v>1.1705826330389755</v>
      </c>
      <c r="J140" s="14">
        <f t="shared" si="124"/>
        <v>6.7355192037327898</v>
      </c>
      <c r="K140" s="14">
        <f t="shared" si="105"/>
        <v>5.7186737849720615E-2</v>
      </c>
      <c r="L140" s="14">
        <f t="shared" si="125"/>
        <v>0.39991461413337592</v>
      </c>
      <c r="M140" s="14">
        <f t="shared" si="126"/>
        <v>1.162825166888549</v>
      </c>
      <c r="N140" s="14">
        <f t="shared" si="127"/>
        <v>0.29918421072427093</v>
      </c>
      <c r="O140" s="14">
        <f t="shared" si="106"/>
        <v>0.83230468413403202</v>
      </c>
      <c r="P140" s="14">
        <f t="shared" si="107"/>
        <v>0.73043509688789254</v>
      </c>
      <c r="Q140" s="14">
        <f t="shared" si="108"/>
        <v>-0.48210472578225283</v>
      </c>
      <c r="R140" s="1">
        <f t="shared" si="128"/>
        <v>0.5505779552306802</v>
      </c>
      <c r="S140" s="1">
        <f t="shared" si="129"/>
        <v>-0.12824005618246398</v>
      </c>
      <c r="T140" s="1">
        <f t="shared" si="130"/>
        <v>25.436460760020022</v>
      </c>
      <c r="U140" s="1">
        <f t="shared" si="131"/>
        <v>19.952982380414998</v>
      </c>
      <c r="V140" s="1">
        <f t="shared" si="109"/>
        <v>0</v>
      </c>
      <c r="W140" s="1">
        <f t="shared" si="132"/>
        <v>25.436460760020022</v>
      </c>
      <c r="X140" s="1">
        <f t="shared" si="133"/>
        <v>14.685747467028913</v>
      </c>
      <c r="Z140" s="14">
        <f t="shared" si="147"/>
        <v>1.9741613094780142</v>
      </c>
      <c r="AA140" s="14">
        <f t="shared" si="134"/>
        <v>4.4844934944183734</v>
      </c>
      <c r="AB140" s="14">
        <f t="shared" si="135"/>
        <v>6.7164486078195162</v>
      </c>
      <c r="AC140" s="14">
        <f t="shared" si="111"/>
        <v>-2.6363100897846818</v>
      </c>
      <c r="AD140" s="14">
        <f t="shared" si="112"/>
        <v>6.1774226836100663</v>
      </c>
      <c r="AE140" s="14">
        <f t="shared" si="113"/>
        <v>1.9710100205508021</v>
      </c>
      <c r="AF140" s="14">
        <f t="shared" si="136"/>
        <v>6.7355192037328839</v>
      </c>
      <c r="AG140" s="14">
        <f t="shared" si="114"/>
        <v>5.7186737849722391E-2</v>
      </c>
      <c r="AH140" s="14">
        <f t="shared" si="137"/>
        <v>0.39991461413339258</v>
      </c>
      <c r="AI140" s="14">
        <f t="shared" si="138"/>
        <v>1.1628251668885301</v>
      </c>
      <c r="AJ140" s="14">
        <f t="shared" si="139"/>
        <v>-0.29918421072426687</v>
      </c>
      <c r="AK140" s="14">
        <f t="shared" si="115"/>
        <v>0.83230468413403691</v>
      </c>
      <c r="AL140" s="14">
        <f t="shared" si="116"/>
        <v>0.73043509688788588</v>
      </c>
      <c r="AM140" s="14">
        <f t="shared" si="117"/>
        <v>0.48241616899145678</v>
      </c>
      <c r="AN140" s="1">
        <f t="shared" si="140"/>
        <v>-0.5504463336429799</v>
      </c>
      <c r="AO140" s="1">
        <f t="shared" si="141"/>
        <v>-0.12852231958818799</v>
      </c>
      <c r="AP140" s="1">
        <f t="shared" si="142"/>
        <v>25.422817185861884</v>
      </c>
      <c r="AQ140" s="1">
        <f t="shared" si="143"/>
        <v>19.964430698460703</v>
      </c>
      <c r="AR140" s="1">
        <f t="shared" si="118"/>
        <v>0</v>
      </c>
      <c r="AS140" s="1">
        <f t="shared" si="144"/>
        <v>25.422817185861884</v>
      </c>
      <c r="AT140" s="1">
        <f t="shared" si="145"/>
        <v>14.677870345816002</v>
      </c>
    </row>
    <row r="141" spans="1:46" x14ac:dyDescent="0.25">
      <c r="A141" s="14">
        <f t="shared" si="119"/>
        <v>4.0840704496667346</v>
      </c>
      <c r="B141" s="14">
        <f t="shared" si="120"/>
        <v>-2.9389262614623517</v>
      </c>
      <c r="C141" s="14">
        <f t="shared" si="121"/>
        <v>-4.045084971874747</v>
      </c>
      <c r="D141" s="14">
        <f t="shared" si="146"/>
        <v>1.1737339219661875</v>
      </c>
      <c r="E141" s="14">
        <f t="shared" si="122"/>
        <v>4.5416802322679555</v>
      </c>
      <c r="F141" s="14">
        <f t="shared" si="123"/>
        <v>6.7547656755933083</v>
      </c>
      <c r="G141" s="14">
        <f t="shared" si="102"/>
        <v>2.612141930040071</v>
      </c>
      <c r="H141" s="14">
        <f t="shared" si="103"/>
        <v>6.2292514694383669</v>
      </c>
      <c r="I141" s="14">
        <f t="shared" si="104"/>
        <v>1.1768852108933996</v>
      </c>
      <c r="J141" s="14">
        <f t="shared" si="124"/>
        <v>6.7741899193120734</v>
      </c>
      <c r="K141" s="14">
        <f t="shared" si="105"/>
        <v>5.7845288661590111E-2</v>
      </c>
      <c r="L141" s="14">
        <f t="shared" si="125"/>
        <v>0.40668258531260615</v>
      </c>
      <c r="M141" s="14">
        <f t="shared" si="126"/>
        <v>1.1553165243104726</v>
      </c>
      <c r="N141" s="14">
        <f t="shared" si="127"/>
        <v>0.29750484731042076</v>
      </c>
      <c r="O141" s="14">
        <f t="shared" si="106"/>
        <v>0.83416221571753746</v>
      </c>
      <c r="P141" s="14">
        <f t="shared" si="107"/>
        <v>0.72783689390554129</v>
      </c>
      <c r="Q141" s="14">
        <f t="shared" si="108"/>
        <v>-0.47518002831922135</v>
      </c>
      <c r="R141" s="1">
        <f t="shared" si="128"/>
        <v>0.55518795417438438</v>
      </c>
      <c r="S141" s="1">
        <f t="shared" si="129"/>
        <v>-0.12306219697689641</v>
      </c>
      <c r="T141" s="1">
        <f t="shared" si="130"/>
        <v>26.097644387214402</v>
      </c>
      <c r="U141" s="1">
        <f t="shared" si="131"/>
        <v>20.024002522639286</v>
      </c>
      <c r="V141" s="1">
        <f t="shared" si="109"/>
        <v>0</v>
      </c>
      <c r="W141" s="1">
        <f t="shared" si="132"/>
        <v>26.097644387214402</v>
      </c>
      <c r="X141" s="1">
        <f t="shared" si="133"/>
        <v>15.067482012173359</v>
      </c>
      <c r="Z141" s="14">
        <f t="shared" si="147"/>
        <v>1.9678587316235903</v>
      </c>
      <c r="AA141" s="14">
        <f t="shared" si="134"/>
        <v>4.5416802322680958</v>
      </c>
      <c r="AB141" s="14">
        <f t="shared" si="135"/>
        <v>6.7547656755934016</v>
      </c>
      <c r="AC141" s="14">
        <f t="shared" si="111"/>
        <v>-2.6121419300400111</v>
      </c>
      <c r="AD141" s="14">
        <f t="shared" si="112"/>
        <v>6.2292514694384931</v>
      </c>
      <c r="AE141" s="14">
        <f t="shared" si="113"/>
        <v>1.9647074426963784</v>
      </c>
      <c r="AF141" s="14">
        <f t="shared" si="136"/>
        <v>6.7741899193121666</v>
      </c>
      <c r="AG141" s="14">
        <f t="shared" si="114"/>
        <v>5.7845288661590999E-2</v>
      </c>
      <c r="AH141" s="14">
        <f t="shared" si="137"/>
        <v>0.40668258531262247</v>
      </c>
      <c r="AI141" s="14">
        <f t="shared" si="138"/>
        <v>1.1553165243104546</v>
      </c>
      <c r="AJ141" s="14">
        <f t="shared" si="139"/>
        <v>-0.29750484731041632</v>
      </c>
      <c r="AK141" s="14">
        <f t="shared" si="115"/>
        <v>0.83416221571754212</v>
      </c>
      <c r="AL141" s="14">
        <f t="shared" si="116"/>
        <v>0.72783689390553485</v>
      </c>
      <c r="AM141" s="14">
        <f t="shared" si="117"/>
        <v>0.47550565027511571</v>
      </c>
      <c r="AN141" s="1">
        <f t="shared" si="140"/>
        <v>-0.55505034038940382</v>
      </c>
      <c r="AO141" s="1">
        <f t="shared" si="141"/>
        <v>-0.12335731069115624</v>
      </c>
      <c r="AP141" s="1">
        <f t="shared" si="142"/>
        <v>26.083215406936393</v>
      </c>
      <c r="AQ141" s="1">
        <f t="shared" si="143"/>
        <v>20.036109874669833</v>
      </c>
      <c r="AR141" s="1">
        <f t="shared" si="118"/>
        <v>0</v>
      </c>
      <c r="AS141" s="1">
        <f t="shared" si="144"/>
        <v>26.083215406936393</v>
      </c>
      <c r="AT141" s="1">
        <f t="shared" si="145"/>
        <v>15.05915143652572</v>
      </c>
    </row>
    <row r="142" spans="1:46" x14ac:dyDescent="0.25">
      <c r="A142" s="14">
        <f t="shared" si="119"/>
        <v>4.1189770347066208</v>
      </c>
      <c r="B142" s="14">
        <f t="shared" si="120"/>
        <v>-2.7959645173537218</v>
      </c>
      <c r="C142" s="14">
        <f t="shared" si="121"/>
        <v>-4.1451878627752166</v>
      </c>
      <c r="D142" s="14">
        <f t="shared" si="146"/>
        <v>1.1800364998206114</v>
      </c>
      <c r="E142" s="14">
        <f t="shared" si="122"/>
        <v>4.5995255209295456</v>
      </c>
      <c r="F142" s="14">
        <f t="shared" si="123"/>
        <v>6.7937938604054082</v>
      </c>
      <c r="G142" s="14">
        <f t="shared" si="102"/>
        <v>2.5876954546960214</v>
      </c>
      <c r="H142" s="14">
        <f t="shared" si="103"/>
        <v>6.2816771049957492</v>
      </c>
      <c r="I142" s="14">
        <f t="shared" si="104"/>
        <v>1.1831877887478233</v>
      </c>
      <c r="J142" s="14">
        <f t="shared" si="124"/>
        <v>6.8135794545565505</v>
      </c>
      <c r="K142" s="14">
        <f t="shared" si="105"/>
        <v>5.8519956936429196E-2</v>
      </c>
      <c r="L142" s="14">
        <f t="shared" si="125"/>
        <v>0.41355771199830016</v>
      </c>
      <c r="M142" s="14">
        <f t="shared" si="126"/>
        <v>1.1479502664400831</v>
      </c>
      <c r="N142" s="14">
        <f t="shared" si="127"/>
        <v>0.29567224268375336</v>
      </c>
      <c r="O142" s="14">
        <f t="shared" si="106"/>
        <v>0.83609848275204901</v>
      </c>
      <c r="P142" s="14">
        <f t="shared" si="107"/>
        <v>0.72540949568633417</v>
      </c>
      <c r="Q142" s="14">
        <f t="shared" si="108"/>
        <v>-0.46817963233583071</v>
      </c>
      <c r="R142" s="1">
        <f t="shared" si="128"/>
        <v>0.55990130324754162</v>
      </c>
      <c r="S142" s="1">
        <f t="shared" si="129"/>
        <v>-0.11774354640076318</v>
      </c>
      <c r="T142" s="1">
        <f t="shared" si="130"/>
        <v>26.78355072168528</v>
      </c>
      <c r="U142" s="1">
        <f t="shared" si="131"/>
        <v>20.09203184019562</v>
      </c>
      <c r="V142" s="1">
        <f t="shared" si="109"/>
        <v>0</v>
      </c>
      <c r="W142" s="1">
        <f t="shared" si="132"/>
        <v>26.78355072168528</v>
      </c>
      <c r="X142" s="1">
        <f t="shared" si="133"/>
        <v>15.463490219018992</v>
      </c>
      <c r="Z142" s="14">
        <f t="shared" si="147"/>
        <v>1.9615561537691664</v>
      </c>
      <c r="AA142" s="14">
        <f t="shared" si="134"/>
        <v>4.5995255209296868</v>
      </c>
      <c r="AB142" s="14">
        <f t="shared" si="135"/>
        <v>6.7937938604055033</v>
      </c>
      <c r="AC142" s="14">
        <f t="shared" si="111"/>
        <v>-2.5876954546959605</v>
      </c>
      <c r="AD142" s="14">
        <f t="shared" si="112"/>
        <v>6.2816771049958771</v>
      </c>
      <c r="AE142" s="14">
        <f t="shared" si="113"/>
        <v>1.9584048648419543</v>
      </c>
      <c r="AF142" s="14">
        <f t="shared" si="136"/>
        <v>6.8135794545566482</v>
      </c>
      <c r="AG142" s="14">
        <f t="shared" si="114"/>
        <v>5.8519956936430972E-2</v>
      </c>
      <c r="AH142" s="14">
        <f t="shared" si="137"/>
        <v>0.41355771199831715</v>
      </c>
      <c r="AI142" s="14">
        <f t="shared" si="138"/>
        <v>1.1479502664400651</v>
      </c>
      <c r="AJ142" s="14">
        <f t="shared" si="139"/>
        <v>-0.29567224268374859</v>
      </c>
      <c r="AK142" s="14">
        <f t="shared" si="115"/>
        <v>0.83609848275205412</v>
      </c>
      <c r="AL142" s="14">
        <f t="shared" si="116"/>
        <v>0.72540949568632818</v>
      </c>
      <c r="AM142" s="14">
        <f t="shared" si="117"/>
        <v>0.46851914440679371</v>
      </c>
      <c r="AN142" s="1">
        <f t="shared" si="140"/>
        <v>-0.55975781924627588</v>
      </c>
      <c r="AO142" s="1">
        <f t="shared" si="141"/>
        <v>-0.11805124883447238</v>
      </c>
      <c r="AP142" s="1">
        <f t="shared" si="142"/>
        <v>26.768330773142623</v>
      </c>
      <c r="AQ142" s="1">
        <f t="shared" si="143"/>
        <v>20.104802893405999</v>
      </c>
      <c r="AR142" s="1">
        <f t="shared" si="118"/>
        <v>0</v>
      </c>
      <c r="AS142" s="1">
        <f t="shared" si="144"/>
        <v>26.768330773142623</v>
      </c>
      <c r="AT142" s="1">
        <f t="shared" si="145"/>
        <v>15.454702977630836</v>
      </c>
    </row>
    <row r="143" spans="1:46" x14ac:dyDescent="0.25">
      <c r="A143" s="14">
        <f t="shared" si="119"/>
        <v>4.153883619746507</v>
      </c>
      <c r="B143" s="14">
        <f t="shared" si="120"/>
        <v>-2.6495963211660141</v>
      </c>
      <c r="C143" s="14">
        <f t="shared" si="121"/>
        <v>-4.2402404807821368</v>
      </c>
      <c r="D143" s="14">
        <f t="shared" si="146"/>
        <v>1.1863390776750353</v>
      </c>
      <c r="E143" s="14">
        <f t="shared" si="122"/>
        <v>4.6580454778659748</v>
      </c>
      <c r="F143" s="14">
        <f t="shared" si="123"/>
        <v>6.833548688190322</v>
      </c>
      <c r="G143" s="14">
        <f t="shared" si="102"/>
        <v>2.5629638522184064</v>
      </c>
      <c r="H143" s="14">
        <f t="shared" si="103"/>
        <v>6.334714197664284</v>
      </c>
      <c r="I143" s="14">
        <f t="shared" si="104"/>
        <v>1.1894903666022474</v>
      </c>
      <c r="J143" s="14">
        <f t="shared" si="124"/>
        <v>6.8537035790611132</v>
      </c>
      <c r="K143" s="14">
        <f t="shared" si="105"/>
        <v>5.9211229324017012E-2</v>
      </c>
      <c r="L143" s="14">
        <f t="shared" si="125"/>
        <v>0.42054078203349166</v>
      </c>
      <c r="M143" s="14">
        <f t="shared" si="126"/>
        <v>1.140722955279402</v>
      </c>
      <c r="N143" s="14">
        <f t="shared" si="127"/>
        <v>0.29368772679263383</v>
      </c>
      <c r="O143" s="14">
        <f t="shared" si="106"/>
        <v>0.83810691897295408</v>
      </c>
      <c r="P143" s="14">
        <f t="shared" si="107"/>
        <v>0.72315681833993983</v>
      </c>
      <c r="Q143" s="14">
        <f t="shared" si="108"/>
        <v>-0.46110160499074426</v>
      </c>
      <c r="R143" s="1">
        <f t="shared" si="128"/>
        <v>0.56471286824744793</v>
      </c>
      <c r="S143" s="1">
        <f t="shared" si="129"/>
        <v>-0.11228069768544879</v>
      </c>
      <c r="T143" s="1">
        <f t="shared" si="130"/>
        <v>27.494840718439164</v>
      </c>
      <c r="U143" s="1">
        <f t="shared" si="131"/>
        <v>20.156618084799881</v>
      </c>
      <c r="V143" s="1">
        <f t="shared" si="109"/>
        <v>0</v>
      </c>
      <c r="W143" s="1">
        <f t="shared" si="132"/>
        <v>27.494840718439164</v>
      </c>
      <c r="X143" s="1">
        <f t="shared" si="133"/>
        <v>15.874153690116733</v>
      </c>
      <c r="Z143" s="14">
        <f t="shared" si="147"/>
        <v>1.9552535759147425</v>
      </c>
      <c r="AA143" s="14">
        <f t="shared" si="134"/>
        <v>4.6580454778661178</v>
      </c>
      <c r="AB143" s="14">
        <f t="shared" si="135"/>
        <v>6.8335486881904197</v>
      </c>
      <c r="AC143" s="14">
        <f t="shared" si="111"/>
        <v>-2.5629638522183451</v>
      </c>
      <c r="AD143" s="14">
        <f t="shared" si="112"/>
        <v>6.3347141976644146</v>
      </c>
      <c r="AE143" s="14">
        <f t="shared" si="113"/>
        <v>1.9521022869875306</v>
      </c>
      <c r="AF143" s="14">
        <f t="shared" si="136"/>
        <v>6.85370357906121</v>
      </c>
      <c r="AG143" s="14">
        <f t="shared" si="114"/>
        <v>5.9211229324018788E-2</v>
      </c>
      <c r="AH143" s="14">
        <f t="shared" si="137"/>
        <v>0.42054078203350859</v>
      </c>
      <c r="AI143" s="14">
        <f t="shared" si="138"/>
        <v>1.1407229552793847</v>
      </c>
      <c r="AJ143" s="14">
        <f t="shared" si="139"/>
        <v>-0.29368772679262872</v>
      </c>
      <c r="AK143" s="14">
        <f t="shared" si="115"/>
        <v>0.83810691897295897</v>
      </c>
      <c r="AL143" s="14">
        <f t="shared" si="116"/>
        <v>0.72315681833993439</v>
      </c>
      <c r="AM143" s="14">
        <f t="shared" si="117"/>
        <v>0.46145468555077218</v>
      </c>
      <c r="AN143" s="1">
        <f t="shared" si="140"/>
        <v>-0.56456364995491892</v>
      </c>
      <c r="AO143" s="1">
        <f t="shared" si="141"/>
        <v>-0.11260069734645561</v>
      </c>
      <c r="AP143" s="1">
        <f t="shared" si="142"/>
        <v>27.47882553744607</v>
      </c>
      <c r="AQ143" s="1">
        <f t="shared" si="143"/>
        <v>20.1700564172661</v>
      </c>
      <c r="AR143" s="1">
        <f t="shared" si="118"/>
        <v>0</v>
      </c>
      <c r="AS143" s="1">
        <f t="shared" si="144"/>
        <v>27.47882553744607</v>
      </c>
      <c r="AT143" s="1">
        <f t="shared" si="145"/>
        <v>15.864907321059251</v>
      </c>
    </row>
    <row r="144" spans="1:46" x14ac:dyDescent="0.25">
      <c r="A144" s="14">
        <f t="shared" si="119"/>
        <v>4.1887902047863932</v>
      </c>
      <c r="B144" s="14">
        <f t="shared" si="120"/>
        <v>-2.4999999999999907</v>
      </c>
      <c r="C144" s="14">
        <f t="shared" si="121"/>
        <v>-4.3301270189221981</v>
      </c>
      <c r="D144" s="14">
        <f t="shared" si="146"/>
        <v>1.1926416555294592</v>
      </c>
      <c r="E144" s="14">
        <f t="shared" si="122"/>
        <v>4.7172567071899918</v>
      </c>
      <c r="F144" s="14">
        <f t="shared" si="123"/>
        <v>6.8740461768545726</v>
      </c>
      <c r="G144" s="14">
        <f t="shared" si="102"/>
        <v>2.5379401054059603</v>
      </c>
      <c r="H144" s="14">
        <f t="shared" si="103"/>
        <v>6.3883777958806522</v>
      </c>
      <c r="I144" s="14">
        <f t="shared" si="104"/>
        <v>1.1957929444566711</v>
      </c>
      <c r="J144" s="14">
        <f t="shared" si="124"/>
        <v>6.8945785638033481</v>
      </c>
      <c r="K144" s="14">
        <f t="shared" si="105"/>
        <v>5.9919611594902555E-2</v>
      </c>
      <c r="L144" s="14">
        <f t="shared" si="125"/>
        <v>0.42763247480264838</v>
      </c>
      <c r="M144" s="14">
        <f t="shared" si="126"/>
        <v>1.1336311422490686</v>
      </c>
      <c r="N144" s="14">
        <f t="shared" si="127"/>
        <v>0.2915527667248074</v>
      </c>
      <c r="O144" s="14">
        <f t="shared" si="106"/>
        <v>0.8401807545540777</v>
      </c>
      <c r="P144" s="14">
        <f t="shared" si="107"/>
        <v>0.7210828624976392</v>
      </c>
      <c r="Q144" s="14">
        <f t="shared" si="108"/>
        <v>-0.45394434506979875</v>
      </c>
      <c r="R144" s="1">
        <f t="shared" si="128"/>
        <v>0.56961719033027036</v>
      </c>
      <c r="S144" s="1">
        <f t="shared" si="129"/>
        <v>-0.10667050889825064</v>
      </c>
      <c r="T144" s="1">
        <f t="shared" si="130"/>
        <v>28.232178999493314</v>
      </c>
      <c r="U144" s="1">
        <f t="shared" si="131"/>
        <v>20.217292776047785</v>
      </c>
      <c r="V144" s="1">
        <f t="shared" si="109"/>
        <v>0</v>
      </c>
      <c r="W144" s="1">
        <f t="shared" si="132"/>
        <v>28.232178999493314</v>
      </c>
      <c r="X144" s="1">
        <f t="shared" si="133"/>
        <v>16.299856145167162</v>
      </c>
      <c r="Z144" s="14">
        <f t="shared" si="147"/>
        <v>1.9489509980603186</v>
      </c>
      <c r="AA144" s="14">
        <f t="shared" si="134"/>
        <v>4.7172567071901366</v>
      </c>
      <c r="AB144" s="14">
        <f t="shared" si="135"/>
        <v>6.8740461768546721</v>
      </c>
      <c r="AC144" s="14">
        <f t="shared" si="111"/>
        <v>-2.5379401054058985</v>
      </c>
      <c r="AD144" s="14">
        <f t="shared" si="112"/>
        <v>6.3883777958807846</v>
      </c>
      <c r="AE144" s="14">
        <f t="shared" si="113"/>
        <v>1.9457997091331065</v>
      </c>
      <c r="AF144" s="14">
        <f t="shared" si="136"/>
        <v>6.8945785638034494</v>
      </c>
      <c r="AG144" s="14">
        <f t="shared" si="114"/>
        <v>5.9919611594903444E-2</v>
      </c>
      <c r="AH144" s="14">
        <f t="shared" si="137"/>
        <v>0.42763247480266603</v>
      </c>
      <c r="AI144" s="14">
        <f t="shared" si="138"/>
        <v>1.133631142249051</v>
      </c>
      <c r="AJ144" s="14">
        <f t="shared" si="139"/>
        <v>-0.29155276672480185</v>
      </c>
      <c r="AK144" s="14">
        <f t="shared" si="115"/>
        <v>0.84018075455408281</v>
      </c>
      <c r="AL144" s="14">
        <f t="shared" si="116"/>
        <v>0.7210828624976342</v>
      </c>
      <c r="AM144" s="14">
        <f t="shared" si="117"/>
        <v>0.45431063858409015</v>
      </c>
      <c r="AN144" s="1">
        <f t="shared" si="140"/>
        <v>-0.56946238800197813</v>
      </c>
      <c r="AO144" s="1">
        <f t="shared" si="141"/>
        <v>-0.10700248356259601</v>
      </c>
      <c r="AP144" s="1">
        <f t="shared" si="142"/>
        <v>28.215365729577758</v>
      </c>
      <c r="AQ144" s="1">
        <f t="shared" si="143"/>
        <v>20.231400784633852</v>
      </c>
      <c r="AR144" s="1">
        <f t="shared" si="118"/>
        <v>0</v>
      </c>
      <c r="AS144" s="1">
        <f t="shared" si="144"/>
        <v>28.215365729577758</v>
      </c>
      <c r="AT144" s="1">
        <f t="shared" si="145"/>
        <v>16.290148999255461</v>
      </c>
    </row>
    <row r="145" spans="1:46" x14ac:dyDescent="0.25">
      <c r="A145" s="14">
        <f t="shared" si="119"/>
        <v>4.2236967898262794</v>
      </c>
      <c r="B145" s="14">
        <f t="shared" si="120"/>
        <v>-2.3473578139294462</v>
      </c>
      <c r="C145" s="14">
        <f t="shared" si="121"/>
        <v>-4.4147379642946385</v>
      </c>
      <c r="D145" s="14">
        <f t="shared" si="146"/>
        <v>1.1989442333838831</v>
      </c>
      <c r="E145" s="14">
        <f t="shared" si="122"/>
        <v>4.7771763187848943</v>
      </c>
      <c r="F145" s="14">
        <f t="shared" si="123"/>
        <v>6.9153028553172708</v>
      </c>
      <c r="G145" s="14">
        <f t="shared" si="102"/>
        <v>2.5126169833095453</v>
      </c>
      <c r="H145" s="14">
        <f t="shared" si="103"/>
        <v>6.4426834064653251</v>
      </c>
      <c r="I145" s="14">
        <f t="shared" si="104"/>
        <v>1.2020955223110952</v>
      </c>
      <c r="J145" s="14">
        <f t="shared" si="124"/>
        <v>6.9362212006283777</v>
      </c>
      <c r="K145" s="14">
        <f t="shared" si="105"/>
        <v>6.0645629539611612E-2</v>
      </c>
      <c r="L145" s="14">
        <f t="shared" si="125"/>
        <v>0.43483335800826695</v>
      </c>
      <c r="M145" s="14">
        <f t="shared" si="126"/>
        <v>1.1266713736362912</v>
      </c>
      <c r="N145" s="14">
        <f t="shared" si="127"/>
        <v>0.28926896420574039</v>
      </c>
      <c r="O145" s="14">
        <f t="shared" si="106"/>
        <v>0.84231303609552377</v>
      </c>
      <c r="P145" s="14">
        <f t="shared" si="107"/>
        <v>0.7191916955490345</v>
      </c>
      <c r="Q145" s="14">
        <f t="shared" si="108"/>
        <v>-0.44670658993930384</v>
      </c>
      <c r="R145" s="1">
        <f t="shared" si="128"/>
        <v>0.57460850118759199</v>
      </c>
      <c r="S145" s="1">
        <f t="shared" si="129"/>
        <v>-0.10091011675129941</v>
      </c>
      <c r="T145" s="1">
        <f t="shared" si="130"/>
        <v>28.996234135624089</v>
      </c>
      <c r="U145" s="1">
        <f t="shared" si="131"/>
        <v>20.273571393223634</v>
      </c>
      <c r="V145" s="1">
        <f t="shared" si="109"/>
        <v>0</v>
      </c>
      <c r="W145" s="1">
        <f t="shared" si="132"/>
        <v>28.996234135624089</v>
      </c>
      <c r="X145" s="1">
        <f t="shared" si="133"/>
        <v>16.740983583687981</v>
      </c>
      <c r="Z145" s="14">
        <f t="shared" si="147"/>
        <v>1.9426484202058947</v>
      </c>
      <c r="AA145" s="14">
        <f t="shared" si="134"/>
        <v>4.77717631878504</v>
      </c>
      <c r="AB145" s="14">
        <f t="shared" si="135"/>
        <v>6.9153028553173712</v>
      </c>
      <c r="AC145" s="14">
        <f t="shared" si="111"/>
        <v>-2.5126169833094818</v>
      </c>
      <c r="AD145" s="14">
        <f t="shared" si="112"/>
        <v>6.4426834064654566</v>
      </c>
      <c r="AE145" s="14">
        <f t="shared" si="113"/>
        <v>1.9394971312786828</v>
      </c>
      <c r="AF145" s="14">
        <f t="shared" si="136"/>
        <v>6.936221200628478</v>
      </c>
      <c r="AG145" s="14">
        <f t="shared" si="114"/>
        <v>6.0645629539615165E-2</v>
      </c>
      <c r="AH145" s="14">
        <f t="shared" si="137"/>
        <v>0.43483335800828421</v>
      </c>
      <c r="AI145" s="14">
        <f t="shared" si="138"/>
        <v>1.1266713736362748</v>
      </c>
      <c r="AJ145" s="14">
        <f t="shared" si="139"/>
        <v>-0.28926896420573461</v>
      </c>
      <c r="AK145" s="14">
        <f t="shared" si="115"/>
        <v>0.8423130360955291</v>
      </c>
      <c r="AL145" s="14">
        <f t="shared" si="116"/>
        <v>0.71919169554902984</v>
      </c>
      <c r="AM145" s="14">
        <f t="shared" si="117"/>
        <v>0.44708570616867471</v>
      </c>
      <c r="AN145" s="1">
        <f t="shared" si="140"/>
        <v>-0.57444827974574242</v>
      </c>
      <c r="AO145" s="1">
        <f t="shared" si="141"/>
        <v>-0.10125371274217215</v>
      </c>
      <c r="AP145" s="1">
        <f t="shared" si="142"/>
        <v>28.978621439123724</v>
      </c>
      <c r="AQ145" s="1">
        <f t="shared" si="143"/>
        <v>20.288350200364164</v>
      </c>
      <c r="AR145" s="1">
        <f t="shared" si="118"/>
        <v>0</v>
      </c>
      <c r="AS145" s="1">
        <f t="shared" si="144"/>
        <v>28.978621439123724</v>
      </c>
      <c r="AT145" s="1">
        <f t="shared" si="145"/>
        <v>16.730814888622341</v>
      </c>
    </row>
    <row r="146" spans="1:46" x14ac:dyDescent="0.25">
      <c r="A146" s="14">
        <f t="shared" si="119"/>
        <v>4.2586033748661656</v>
      </c>
      <c r="B146" s="14">
        <f t="shared" si="120"/>
        <v>-2.1918557339453808</v>
      </c>
      <c r="C146" s="14">
        <f t="shared" si="121"/>
        <v>-4.4939702314958376</v>
      </c>
      <c r="D146" s="14">
        <f t="shared" si="146"/>
        <v>1.205246811238307</v>
      </c>
      <c r="E146" s="14">
        <f t="shared" si="122"/>
        <v>4.837821948324506</v>
      </c>
      <c r="F146" s="14">
        <f t="shared" si="123"/>
        <v>6.9573357834511853</v>
      </c>
      <c r="G146" s="14">
        <f t="shared" si="102"/>
        <v>2.4869870327713435</v>
      </c>
      <c r="H146" s="14">
        <f t="shared" si="103"/>
        <v>6.4976470127668149</v>
      </c>
      <c r="I146" s="14">
        <f t="shared" si="104"/>
        <v>1.2083981001655189</v>
      </c>
      <c r="J146" s="14">
        <f t="shared" si="124"/>
        <v>6.9786488226586343</v>
      </c>
      <c r="K146" s="14">
        <f t="shared" si="105"/>
        <v>6.1389829917748884E-2</v>
      </c>
      <c r="L146" s="14">
        <f t="shared" si="125"/>
        <v>0.44214388458472459</v>
      </c>
      <c r="M146" s="14">
        <f t="shared" si="126"/>
        <v>1.1198401959736983</v>
      </c>
      <c r="N146" s="14">
        <f t="shared" si="127"/>
        <v>0.28683805293149239</v>
      </c>
      <c r="O146" s="14">
        <f t="shared" si="106"/>
        <v>0.84449664694012538</v>
      </c>
      <c r="P146" s="14">
        <f t="shared" si="107"/>
        <v>0.71748743361829725</v>
      </c>
      <c r="Q146" s="14">
        <f t="shared" si="108"/>
        <v>-0.43938742148578563</v>
      </c>
      <c r="R146" s="1">
        <f t="shared" si="128"/>
        <v>0.57968073894912531</v>
      </c>
      <c r="S146" s="1">
        <f t="shared" si="129"/>
        <v>-9.4996949601961866E-2</v>
      </c>
      <c r="T146" s="1">
        <f t="shared" si="130"/>
        <v>29.787678985566028</v>
      </c>
      <c r="U146" s="1">
        <f t="shared" si="131"/>
        <v>20.324953571423269</v>
      </c>
      <c r="V146" s="1">
        <f t="shared" si="109"/>
        <v>0</v>
      </c>
      <c r="W146" s="1">
        <f t="shared" si="132"/>
        <v>29.787678985566028</v>
      </c>
      <c r="X146" s="1">
        <f t="shared" si="133"/>
        <v>17.197924480850705</v>
      </c>
      <c r="Z146" s="14">
        <f t="shared" si="147"/>
        <v>1.9363458423514708</v>
      </c>
      <c r="AA146" s="14">
        <f t="shared" si="134"/>
        <v>4.8378219483246552</v>
      </c>
      <c r="AB146" s="14">
        <f t="shared" si="135"/>
        <v>6.9573357834512883</v>
      </c>
      <c r="AC146" s="14">
        <f t="shared" si="111"/>
        <v>-2.48698703277128</v>
      </c>
      <c r="AD146" s="14">
        <f t="shared" si="112"/>
        <v>6.497647012766949</v>
      </c>
      <c r="AE146" s="14">
        <f t="shared" si="113"/>
        <v>1.9331945534242587</v>
      </c>
      <c r="AF146" s="14">
        <f t="shared" si="136"/>
        <v>6.9786488226587391</v>
      </c>
      <c r="AG146" s="14">
        <f t="shared" si="114"/>
        <v>6.1389829917749772E-2</v>
      </c>
      <c r="AH146" s="14">
        <f t="shared" si="137"/>
        <v>0.44214388458474263</v>
      </c>
      <c r="AI146" s="14">
        <f t="shared" si="138"/>
        <v>1.1198401959736817</v>
      </c>
      <c r="AJ146" s="14">
        <f t="shared" si="139"/>
        <v>-0.28683805293148612</v>
      </c>
      <c r="AK146" s="14">
        <f t="shared" si="115"/>
        <v>0.84449664694013116</v>
      </c>
      <c r="AL146" s="14">
        <f t="shared" si="116"/>
        <v>0.71748743361829304</v>
      </c>
      <c r="AM146" s="14">
        <f t="shared" si="117"/>
        <v>0.4397789348117791</v>
      </c>
      <c r="AN146" s="1">
        <f t="shared" si="140"/>
        <v>-0.57951527826785088</v>
      </c>
      <c r="AO146" s="1">
        <f t="shared" si="141"/>
        <v>-9.5351781178040163E-2</v>
      </c>
      <c r="AP146" s="1">
        <f t="shared" si="142"/>
        <v>29.769267156025315</v>
      </c>
      <c r="AQ146" s="1">
        <f t="shared" si="143"/>
        <v>20.340402930801279</v>
      </c>
      <c r="AR146" s="1">
        <f t="shared" si="118"/>
        <v>0</v>
      </c>
      <c r="AS146" s="1">
        <f t="shared" si="144"/>
        <v>29.769267156025315</v>
      </c>
      <c r="AT146" s="1">
        <f t="shared" si="145"/>
        <v>17.1872944061091</v>
      </c>
    </row>
    <row r="147" spans="1:46" x14ac:dyDescent="0.25">
      <c r="A147" s="14">
        <f t="shared" si="119"/>
        <v>4.2935099599060518</v>
      </c>
      <c r="B147" s="14">
        <f t="shared" si="120"/>
        <v>-2.0336832153789963</v>
      </c>
      <c r="C147" s="14">
        <f t="shared" si="121"/>
        <v>-4.5677272882130069</v>
      </c>
      <c r="D147" s="14">
        <f t="shared" si="146"/>
        <v>1.2115493890927309</v>
      </c>
      <c r="E147" s="14">
        <f t="shared" si="122"/>
        <v>4.8992117782422548</v>
      </c>
      <c r="F147" s="14">
        <f t="shared" si="123"/>
        <v>7.0001625729741184</v>
      </c>
      <c r="G147" s="14">
        <f t="shared" si="102"/>
        <v>2.4610425695629474</v>
      </c>
      <c r="H147" s="14">
        <f t="shared" si="103"/>
        <v>6.5532850936661253</v>
      </c>
      <c r="I147" s="14">
        <f t="shared" si="104"/>
        <v>1.214700678019943</v>
      </c>
      <c r="J147" s="14">
        <f t="shared" si="124"/>
        <v>7.0218793256800875</v>
      </c>
      <c r="K147" s="14">
        <f t="shared" si="105"/>
        <v>6.2152781460190099E-2</v>
      </c>
      <c r="L147" s="14">
        <f t="shared" si="125"/>
        <v>0.44956438975453356</v>
      </c>
      <c r="M147" s="14">
        <f t="shared" si="126"/>
        <v>1.1131341613424004</v>
      </c>
      <c r="N147" s="14">
        <f t="shared" si="127"/>
        <v>0.28426189574037514</v>
      </c>
      <c r="O147" s="14">
        <f t="shared" si="106"/>
        <v>0.84672432776494633</v>
      </c>
      <c r="P147" s="14">
        <f t="shared" si="107"/>
        <v>0.71597422333198768</v>
      </c>
      <c r="Q147" s="14">
        <f t="shared" si="108"/>
        <v>-0.43198627103057097</v>
      </c>
      <c r="R147" s="1">
        <f t="shared" si="128"/>
        <v>0.58482756476795694</v>
      </c>
      <c r="S147" s="1">
        <f t="shared" si="129"/>
        <v>-8.8928739612219254E-2</v>
      </c>
      <c r="T147" s="1">
        <f t="shared" si="130"/>
        <v>30.607191095970308</v>
      </c>
      <c r="U147" s="1">
        <f t="shared" si="131"/>
        <v>20.370923300525721</v>
      </c>
      <c r="V147" s="1">
        <f t="shared" si="109"/>
        <v>0</v>
      </c>
      <c r="W147" s="1">
        <f t="shared" si="132"/>
        <v>30.607191095970308</v>
      </c>
      <c r="X147" s="1">
        <f t="shared" si="133"/>
        <v>17.671070018396772</v>
      </c>
      <c r="Z147" s="14">
        <f t="shared" si="147"/>
        <v>1.9300432644970469</v>
      </c>
      <c r="AA147" s="14">
        <f t="shared" si="134"/>
        <v>4.8992117782424049</v>
      </c>
      <c r="AB147" s="14">
        <f t="shared" si="135"/>
        <v>7.0001625729742241</v>
      </c>
      <c r="AC147" s="14">
        <f t="shared" si="111"/>
        <v>-2.4610425695628835</v>
      </c>
      <c r="AD147" s="14">
        <f t="shared" si="112"/>
        <v>6.5532850936662621</v>
      </c>
      <c r="AE147" s="14">
        <f t="shared" si="113"/>
        <v>1.926891975569835</v>
      </c>
      <c r="AF147" s="14">
        <f t="shared" si="136"/>
        <v>7.0218793256801932</v>
      </c>
      <c r="AG147" s="14">
        <f t="shared" si="114"/>
        <v>6.2152781460192763E-2</v>
      </c>
      <c r="AH147" s="14">
        <f t="shared" si="137"/>
        <v>0.4495643897545516</v>
      </c>
      <c r="AI147" s="14">
        <f t="shared" si="138"/>
        <v>1.1131341613423844</v>
      </c>
      <c r="AJ147" s="14">
        <f t="shared" si="139"/>
        <v>-0.28426189574036881</v>
      </c>
      <c r="AK147" s="14">
        <f t="shared" si="115"/>
        <v>0.84672432776495166</v>
      </c>
      <c r="AL147" s="14">
        <f t="shared" si="116"/>
        <v>0.71597422333198435</v>
      </c>
      <c r="AM147" s="14">
        <f t="shared" si="117"/>
        <v>0.43238971990282277</v>
      </c>
      <c r="AN147" s="1">
        <f t="shared" si="140"/>
        <v>-0.58465705990686956</v>
      </c>
      <c r="AO147" s="1">
        <f t="shared" si="141"/>
        <v>-8.929438846681359E-2</v>
      </c>
      <c r="AP147" s="1">
        <f t="shared" si="142"/>
        <v>30.587982171835812</v>
      </c>
      <c r="AQ147" s="1">
        <f t="shared" si="143"/>
        <v>20.387041501684674</v>
      </c>
      <c r="AR147" s="1">
        <f t="shared" si="118"/>
        <v>0</v>
      </c>
      <c r="AS147" s="1">
        <f t="shared" si="144"/>
        <v>30.587982171835812</v>
      </c>
      <c r="AT147" s="1">
        <f t="shared" si="145"/>
        <v>17.659979740876878</v>
      </c>
    </row>
    <row r="148" spans="1:46" x14ac:dyDescent="0.25">
      <c r="A148" s="14">
        <f t="shared" si="119"/>
        <v>4.328416544945938</v>
      </c>
      <c r="B148" s="14">
        <f t="shared" si="120"/>
        <v>-1.8730329670795574</v>
      </c>
      <c r="C148" s="14">
        <f t="shared" si="121"/>
        <v>-4.635919272833938</v>
      </c>
      <c r="D148" s="14">
        <f t="shared" si="146"/>
        <v>1.2178519669471548</v>
      </c>
      <c r="E148" s="14">
        <f t="shared" si="122"/>
        <v>4.9613645597024449</v>
      </c>
      <c r="F148" s="14">
        <f t="shared" si="123"/>
        <v>7.0438014093436392</v>
      </c>
      <c r="G148" s="14">
        <f t="shared" si="102"/>
        <v>2.4347756690998925</v>
      </c>
      <c r="H148" s="14">
        <f t="shared" si="103"/>
        <v>6.6096146434894836</v>
      </c>
      <c r="I148" s="14">
        <f t="shared" si="104"/>
        <v>1.2210032558743666</v>
      </c>
      <c r="J148" s="14">
        <f t="shared" si="124"/>
        <v>7.0659311905596178</v>
      </c>
      <c r="K148" s="14">
        <f t="shared" si="105"/>
        <v>6.2935075927809336E-2</v>
      </c>
      <c r="L148" s="14">
        <f t="shared" si="125"/>
        <v>0.4570950882319369</v>
      </c>
      <c r="M148" s="14">
        <f t="shared" si="126"/>
        <v>1.1065498325927603</v>
      </c>
      <c r="N148" s="14">
        <f t="shared" si="127"/>
        <v>0.28154248162787898</v>
      </c>
      <c r="O148" s="14">
        <f t="shared" si="106"/>
        <v>0.84898869739380434</v>
      </c>
      <c r="P148" s="14">
        <f t="shared" si="107"/>
        <v>0.71465622343089275</v>
      </c>
      <c r="Q148" s="14">
        <f t="shared" si="108"/>
        <v>-0.42450292321034855</v>
      </c>
      <c r="R148" s="1">
        <f t="shared" si="128"/>
        <v>0.59004238004310383</v>
      </c>
      <c r="S148" s="1">
        <f t="shared" si="129"/>
        <v>-8.2703534036823123E-2</v>
      </c>
      <c r="T148" s="1">
        <f t="shared" si="130"/>
        <v>31.455453165605842</v>
      </c>
      <c r="U148" s="1">
        <f t="shared" si="131"/>
        <v>20.41094912546734</v>
      </c>
      <c r="V148" s="1">
        <f t="shared" si="109"/>
        <v>0</v>
      </c>
      <c r="W148" s="1">
        <f t="shared" si="132"/>
        <v>31.455453165605842</v>
      </c>
      <c r="X148" s="1">
        <f t="shared" si="133"/>
        <v>18.160814352644199</v>
      </c>
      <c r="Z148" s="14">
        <f t="shared" si="147"/>
        <v>1.923740686642623</v>
      </c>
      <c r="AA148" s="14">
        <f t="shared" si="134"/>
        <v>4.9613645597025977</v>
      </c>
      <c r="AB148" s="14">
        <f t="shared" si="135"/>
        <v>7.0438014093437467</v>
      </c>
      <c r="AC148" s="14">
        <f t="shared" si="111"/>
        <v>-2.4347756690998277</v>
      </c>
      <c r="AD148" s="14">
        <f t="shared" si="112"/>
        <v>6.6096146434896221</v>
      </c>
      <c r="AE148" s="14">
        <f t="shared" si="113"/>
        <v>1.9205893977154109</v>
      </c>
      <c r="AF148" s="14">
        <f t="shared" si="136"/>
        <v>7.0659311905597271</v>
      </c>
      <c r="AG148" s="14">
        <f t="shared" si="114"/>
        <v>6.2935075927812001E-2</v>
      </c>
      <c r="AH148" s="14">
        <f t="shared" si="137"/>
        <v>0.45709508823195555</v>
      </c>
      <c r="AI148" s="14">
        <f t="shared" si="138"/>
        <v>1.1065498325927441</v>
      </c>
      <c r="AJ148" s="14">
        <f t="shared" si="139"/>
        <v>-0.28154248162787204</v>
      </c>
      <c r="AK148" s="14">
        <f t="shared" si="115"/>
        <v>0.84898869739381022</v>
      </c>
      <c r="AL148" s="14">
        <f t="shared" si="116"/>
        <v>0.71465622343088953</v>
      </c>
      <c r="AM148" s="14">
        <f t="shared" si="117"/>
        <v>0.42491780971739779</v>
      </c>
      <c r="AN148" s="1">
        <f t="shared" si="140"/>
        <v>-0.58986704142868029</v>
      </c>
      <c r="AO148" s="1">
        <f t="shared" si="141"/>
        <v>-8.3079548908899625E-2</v>
      </c>
      <c r="AP148" s="1">
        <f t="shared" si="142"/>
        <v>31.4354510451689</v>
      </c>
      <c r="AQ148" s="1">
        <f t="shared" si="143"/>
        <v>20.427732897351163</v>
      </c>
      <c r="AR148" s="1">
        <f t="shared" si="118"/>
        <v>0</v>
      </c>
      <c r="AS148" s="1">
        <f t="shared" si="144"/>
        <v>31.4354510451689</v>
      </c>
      <c r="AT148" s="1">
        <f t="shared" si="145"/>
        <v>18.149266123025566</v>
      </c>
    </row>
    <row r="149" spans="1:46" x14ac:dyDescent="0.25">
      <c r="A149" s="14">
        <f t="shared" si="119"/>
        <v>4.3633231299858242</v>
      </c>
      <c r="B149" s="14">
        <f t="shared" si="120"/>
        <v>-1.7101007166283426</v>
      </c>
      <c r="C149" s="14">
        <f t="shared" si="121"/>
        <v>-4.6984631039295426</v>
      </c>
      <c r="D149" s="14">
        <f t="shared" si="146"/>
        <v>1.2241545448015787</v>
      </c>
      <c r="E149" s="14">
        <f t="shared" si="122"/>
        <v>5.0242996356302543</v>
      </c>
      <c r="F149" s="14">
        <f t="shared" si="123"/>
        <v>7.0882710747116837</v>
      </c>
      <c r="G149" s="14">
        <f t="shared" si="102"/>
        <v>2.4081781567087628</v>
      </c>
      <c r="H149" s="14">
        <f t="shared" si="103"/>
        <v>6.6666531928806005</v>
      </c>
      <c r="I149" s="14">
        <f t="shared" si="104"/>
        <v>1.2273058337287908</v>
      </c>
      <c r="J149" s="14">
        <f t="shared" si="124"/>
        <v>7.1108235067518732</v>
      </c>
      <c r="K149" s="14">
        <f t="shared" si="105"/>
        <v>6.3737329230375117E-2</v>
      </c>
      <c r="L149" s="14">
        <f t="shared" si="125"/>
        <v>0.46473607157860475</v>
      </c>
      <c r="M149" s="14">
        <f t="shared" si="126"/>
        <v>1.1000837884764998</v>
      </c>
      <c r="N149" s="14">
        <f t="shared" si="127"/>
        <v>0.2786819226095486</v>
      </c>
      <c r="O149" s="14">
        <f t="shared" si="106"/>
        <v>0.851282273776515</v>
      </c>
      <c r="P149" s="14">
        <f t="shared" si="107"/>
        <v>0.71353758627858965</v>
      </c>
      <c r="Q149" s="14">
        <f t="shared" si="108"/>
        <v>-0.41693751881753349</v>
      </c>
      <c r="R149" s="1">
        <f t="shared" si="128"/>
        <v>0.59531834423277474</v>
      </c>
      <c r="S149" s="1">
        <f t="shared" si="129"/>
        <v>-7.6319705612358457E-2</v>
      </c>
      <c r="T149" s="1">
        <f t="shared" si="130"/>
        <v>32.333153577441472</v>
      </c>
      <c r="U149" s="1">
        <f t="shared" si="131"/>
        <v>20.444484346159879</v>
      </c>
      <c r="V149" s="1">
        <f t="shared" si="109"/>
        <v>0</v>
      </c>
      <c r="W149" s="1">
        <f t="shared" si="132"/>
        <v>32.333153577441472</v>
      </c>
      <c r="X149" s="1">
        <f t="shared" si="133"/>
        <v>18.667554921685344</v>
      </c>
      <c r="Z149" s="14">
        <f t="shared" si="147"/>
        <v>1.9174381087881991</v>
      </c>
      <c r="AA149" s="14">
        <f t="shared" si="134"/>
        <v>5.0242996356304097</v>
      </c>
      <c r="AB149" s="14">
        <f t="shared" si="135"/>
        <v>7.0882710747117921</v>
      </c>
      <c r="AC149" s="14">
        <f t="shared" si="111"/>
        <v>-2.4081781567086966</v>
      </c>
      <c r="AD149" s="14">
        <f t="shared" si="112"/>
        <v>6.6666531928807409</v>
      </c>
      <c r="AE149" s="14">
        <f t="shared" si="113"/>
        <v>1.9142868198609873</v>
      </c>
      <c r="AF149" s="14">
        <f t="shared" si="136"/>
        <v>7.1108235067519825</v>
      </c>
      <c r="AG149" s="14">
        <f t="shared" si="114"/>
        <v>6.3737329230375117E-2</v>
      </c>
      <c r="AH149" s="14">
        <f t="shared" si="137"/>
        <v>0.46473607157862323</v>
      </c>
      <c r="AI149" s="14">
        <f t="shared" si="138"/>
        <v>1.1000837884764842</v>
      </c>
      <c r="AJ149" s="14">
        <f t="shared" si="139"/>
        <v>-0.2786819226095415</v>
      </c>
      <c r="AK149" s="14">
        <f t="shared" si="115"/>
        <v>0.85128227377652055</v>
      </c>
      <c r="AL149" s="14">
        <f t="shared" si="116"/>
        <v>0.71353758627858699</v>
      </c>
      <c r="AM149" s="14">
        <f t="shared" si="117"/>
        <v>0.41736330838196856</v>
      </c>
      <c r="AN149" s="1">
        <f t="shared" si="140"/>
        <v>-0.5951383977871908</v>
      </c>
      <c r="AO149" s="1">
        <f t="shared" si="141"/>
        <v>-7.670560201024601E-2</v>
      </c>
      <c r="AP149" s="1">
        <f t="shared" si="142"/>
        <v>32.312364135040852</v>
      </c>
      <c r="AQ149" s="1">
        <f t="shared" si="143"/>
        <v>20.461928759611034</v>
      </c>
      <c r="AR149" s="1">
        <f t="shared" si="118"/>
        <v>0</v>
      </c>
      <c r="AS149" s="1">
        <f t="shared" si="144"/>
        <v>32.312364135040852</v>
      </c>
      <c r="AT149" s="1">
        <f t="shared" si="145"/>
        <v>18.655552131519045</v>
      </c>
    </row>
    <row r="150" spans="1:46" x14ac:dyDescent="0.25">
      <c r="A150" s="14">
        <f t="shared" si="119"/>
        <v>4.3982297150257104</v>
      </c>
      <c r="B150" s="14">
        <f t="shared" si="120"/>
        <v>-1.5450849718747377</v>
      </c>
      <c r="C150" s="14">
        <f t="shared" si="121"/>
        <v>-4.7552825814757673</v>
      </c>
      <c r="D150" s="14">
        <f t="shared" si="146"/>
        <v>1.2304571226560026</v>
      </c>
      <c r="E150" s="14">
        <f t="shared" si="122"/>
        <v>5.0880369648606294</v>
      </c>
      <c r="F150" s="14">
        <f t="shared" si="123"/>
        <v>7.133590971999177</v>
      </c>
      <c r="G150" s="14">
        <f t="shared" si="102"/>
        <v>2.3812415974214267</v>
      </c>
      <c r="H150" s="14">
        <f t="shared" si="103"/>
        <v>6.7244188306870063</v>
      </c>
      <c r="I150" s="14">
        <f t="shared" si="104"/>
        <v>1.2336084115832144</v>
      </c>
      <c r="J150" s="14">
        <f t="shared" si="124"/>
        <v>7.1565759969576757</v>
      </c>
      <c r="K150" s="14">
        <f t="shared" si="105"/>
        <v>6.4560182609561423E-2</v>
      </c>
      <c r="L150" s="14">
        <f t="shared" si="125"/>
        <v>0.47248730571596748</v>
      </c>
      <c r="M150" s="14">
        <f t="shared" si="126"/>
        <v>1.0937326286839546</v>
      </c>
      <c r="N150" s="14">
        <f t="shared" si="127"/>
        <v>0.27568245043670347</v>
      </c>
      <c r="O150" s="14">
        <f t="shared" si="106"/>
        <v>0.85359749508034222</v>
      </c>
      <c r="P150" s="14">
        <f t="shared" si="107"/>
        <v>0.71262243931958003</v>
      </c>
      <c r="Q150" s="14">
        <f t="shared" si="108"/>
        <v>-0.40929055659701896</v>
      </c>
      <c r="R150" s="1">
        <f t="shared" si="128"/>
        <v>0.60064839321037711</v>
      </c>
      <c r="S150" s="1">
        <f t="shared" si="129"/>
        <v>-6.9775962021784987E-2</v>
      </c>
      <c r="T150" s="1">
        <f t="shared" si="130"/>
        <v>33.240987002461893</v>
      </c>
      <c r="U150" s="1">
        <f t="shared" si="131"/>
        <v>20.470967215312729</v>
      </c>
      <c r="V150" s="1">
        <f t="shared" si="109"/>
        <v>0</v>
      </c>
      <c r="W150" s="1">
        <f t="shared" si="132"/>
        <v>33.240987002461893</v>
      </c>
      <c r="X150" s="1">
        <f t="shared" si="133"/>
        <v>19.191692794000225</v>
      </c>
      <c r="Z150" s="14">
        <f t="shared" si="147"/>
        <v>1.9111355309337752</v>
      </c>
      <c r="AA150" s="14">
        <f t="shared" si="134"/>
        <v>5.0880369648607848</v>
      </c>
      <c r="AB150" s="14">
        <f t="shared" si="135"/>
        <v>7.1335909719992889</v>
      </c>
      <c r="AC150" s="14">
        <f t="shared" si="111"/>
        <v>-2.3812415974213601</v>
      </c>
      <c r="AD150" s="14">
        <f t="shared" si="112"/>
        <v>6.7244188306871493</v>
      </c>
      <c r="AE150" s="14">
        <f t="shared" si="113"/>
        <v>1.9079842420065631</v>
      </c>
      <c r="AF150" s="14">
        <f t="shared" si="136"/>
        <v>7.1565759969577893</v>
      </c>
      <c r="AG150" s="14">
        <f t="shared" si="114"/>
        <v>6.4560182609563199E-2</v>
      </c>
      <c r="AH150" s="14">
        <f t="shared" si="137"/>
        <v>0.47248730571598657</v>
      </c>
      <c r="AI150" s="14">
        <f t="shared" si="138"/>
        <v>1.0937326286839388</v>
      </c>
      <c r="AJ150" s="14">
        <f t="shared" si="139"/>
        <v>-0.27568245043669592</v>
      </c>
      <c r="AK150" s="14">
        <f t="shared" si="115"/>
        <v>0.85359749508034766</v>
      </c>
      <c r="AL150" s="14">
        <f t="shared" si="116"/>
        <v>0.71262243931957769</v>
      </c>
      <c r="AM150" s="14">
        <f t="shared" si="117"/>
        <v>0.40972667779547478</v>
      </c>
      <c r="AN150" s="1">
        <f t="shared" si="140"/>
        <v>-0.60046408042758237</v>
      </c>
      <c r="AO150" s="1">
        <f t="shared" si="141"/>
        <v>-7.017122206003823E-2</v>
      </c>
      <c r="AP150" s="1">
        <f t="shared" si="142"/>
        <v>33.219418205933209</v>
      </c>
      <c r="AQ150" s="1">
        <f t="shared" si="143"/>
        <v>20.489065584526628</v>
      </c>
      <c r="AR150" s="1">
        <f t="shared" si="118"/>
        <v>0</v>
      </c>
      <c r="AS150" s="1">
        <f t="shared" si="144"/>
        <v>33.219418205933209</v>
      </c>
      <c r="AT150" s="1">
        <f t="shared" si="145"/>
        <v>19.179240043518291</v>
      </c>
    </row>
    <row r="151" spans="1:46" x14ac:dyDescent="0.25">
      <c r="A151" s="14">
        <f t="shared" si="119"/>
        <v>4.4331363000655966</v>
      </c>
      <c r="B151" s="14">
        <f t="shared" si="120"/>
        <v>-1.3781867790849986</v>
      </c>
      <c r="C151" s="14">
        <f t="shared" si="121"/>
        <v>-4.8063084796915936</v>
      </c>
      <c r="D151" s="14">
        <f t="shared" si="146"/>
        <v>1.2367597005104265</v>
      </c>
      <c r="E151" s="14">
        <f t="shared" si="122"/>
        <v>5.1525971474701908</v>
      </c>
      <c r="F151" s="14">
        <f t="shared" si="123"/>
        <v>7.179781150154783</v>
      </c>
      <c r="G151" s="14">
        <f t="shared" si="102"/>
        <v>2.3539572852693125</v>
      </c>
      <c r="H151" s="14">
        <f t="shared" si="103"/>
        <v>6.7829302269185598</v>
      </c>
      <c r="I151" s="14">
        <f t="shared" si="104"/>
        <v>1.2399109894376386</v>
      </c>
      <c r="J151" s="14">
        <f t="shared" si="124"/>
        <v>7.2032090430001876</v>
      </c>
      <c r="K151" s="14">
        <f t="shared" si="105"/>
        <v>6.5404303890329807E-2</v>
      </c>
      <c r="L151" s="14">
        <f t="shared" si="125"/>
        <v>0.48034862859852634</v>
      </c>
      <c r="M151" s="14">
        <f t="shared" si="126"/>
        <v>1.0874929787804468</v>
      </c>
      <c r="N151" s="14">
        <f t="shared" si="127"/>
        <v>0.2725464131700816</v>
      </c>
      <c r="O151" s="14">
        <f t="shared" si="106"/>
        <v>0.85592674083915155</v>
      </c>
      <c r="P151" s="14">
        <f t="shared" si="107"/>
        <v>0.71191486653982161</v>
      </c>
      <c r="Q151" s="14">
        <f t="shared" si="108"/>
        <v>-0.40156289399860134</v>
      </c>
      <c r="R151" s="1">
        <f t="shared" si="128"/>
        <v>0.60602525811416996</v>
      </c>
      <c r="S151" s="1">
        <f t="shared" si="129"/>
        <v>-6.3071354411483815E-2</v>
      </c>
      <c r="T151" s="1">
        <f t="shared" si="130"/>
        <v>34.179655079297753</v>
      </c>
      <c r="U151" s="1">
        <f t="shared" si="131"/>
        <v>20.489821132323467</v>
      </c>
      <c r="V151" s="1">
        <f t="shared" si="109"/>
        <v>0</v>
      </c>
      <c r="W151" s="1">
        <f t="shared" si="132"/>
        <v>34.179655079297753</v>
      </c>
      <c r="X151" s="1">
        <f t="shared" si="133"/>
        <v>19.733633060841115</v>
      </c>
      <c r="Z151" s="14">
        <f t="shared" si="147"/>
        <v>1.9048329530793513</v>
      </c>
      <c r="AA151" s="14">
        <f t="shared" si="134"/>
        <v>5.152597147470348</v>
      </c>
      <c r="AB151" s="14">
        <f t="shared" si="135"/>
        <v>7.1797811501548967</v>
      </c>
      <c r="AC151" s="14">
        <f t="shared" si="111"/>
        <v>-2.353957285269245</v>
      </c>
      <c r="AD151" s="14">
        <f t="shared" si="112"/>
        <v>6.7829302269187037</v>
      </c>
      <c r="AE151" s="14">
        <f t="shared" si="113"/>
        <v>1.9016816641521395</v>
      </c>
      <c r="AF151" s="14">
        <f t="shared" si="136"/>
        <v>7.2032090430003013</v>
      </c>
      <c r="AG151" s="14">
        <f t="shared" si="114"/>
        <v>6.5404303890332471E-2</v>
      </c>
      <c r="AH151" s="14">
        <f t="shared" si="137"/>
        <v>0.48034862859854532</v>
      </c>
      <c r="AI151" s="14">
        <f t="shared" si="138"/>
        <v>1.0874929787804319</v>
      </c>
      <c r="AJ151" s="14">
        <f t="shared" si="139"/>
        <v>-0.27254641317007383</v>
      </c>
      <c r="AK151" s="14">
        <f t="shared" si="115"/>
        <v>0.85592674083915721</v>
      </c>
      <c r="AL151" s="14">
        <f t="shared" si="116"/>
        <v>0.71191486653981984</v>
      </c>
      <c r="AM151" s="14">
        <f t="shared" si="117"/>
        <v>0.40200873850681818</v>
      </c>
      <c r="AN151" s="1">
        <f t="shared" si="140"/>
        <v>-0.60583683608310579</v>
      </c>
      <c r="AO151" s="1">
        <f t="shared" si="141"/>
        <v>-6.3475426761088971E-2</v>
      </c>
      <c r="AP151" s="1">
        <f t="shared" si="142"/>
        <v>34.157317108658731</v>
      </c>
      <c r="AQ151" s="1">
        <f t="shared" si="143"/>
        <v>20.508564915250336</v>
      </c>
      <c r="AR151" s="1">
        <f t="shared" si="118"/>
        <v>0</v>
      </c>
      <c r="AS151" s="1">
        <f t="shared" si="144"/>
        <v>34.157317108658731</v>
      </c>
      <c r="AT151" s="1">
        <f t="shared" si="145"/>
        <v>19.720736227479527</v>
      </c>
    </row>
    <row r="152" spans="1:46" x14ac:dyDescent="0.25">
      <c r="A152" s="14">
        <f t="shared" si="119"/>
        <v>4.4680428851054828</v>
      </c>
      <c r="B152" s="14">
        <f t="shared" ref="B152:B183" si="148">R_*COS(A152)</f>
        <v>-1.2096094779983433</v>
      </c>
      <c r="C152" s="14">
        <f t="shared" ref="C152:C183" si="149">R_*SIN(A152)</f>
        <v>-4.8514786313799814</v>
      </c>
      <c r="D152" s="14">
        <f t="shared" si="146"/>
        <v>1.2430622783648504</v>
      </c>
      <c r="E152" s="14">
        <f t="shared" ref="E152:E183" si="150">R_*SIN(D152-θ1+θ0)/COS(α1-D152-θ0)</f>
        <v>5.2180014513605206</v>
      </c>
      <c r="F152" s="14">
        <f t="shared" ref="F152:F183" si="151">R_*SIN(PI()/2-α1+θ1)/SIN(PI()/2+α1-D152-θ0)</f>
        <v>7.2268623306660897</v>
      </c>
      <c r="G152" s="14">
        <f t="shared" si="102"/>
        <v>2.3263162320488204</v>
      </c>
      <c r="H152" s="14">
        <f t="shared" si="103"/>
        <v>6.8422066568400792</v>
      </c>
      <c r="I152" s="14">
        <f t="shared" si="104"/>
        <v>1.2462135672920622</v>
      </c>
      <c r="J152" s="14">
        <f t="shared" ref="J152:J183" si="152">R_*SIN(PI()/2-α1+θ1)/SIN(PI()/2+α1-I152)</f>
        <v>7.2507437129893431</v>
      </c>
      <c r="K152" s="14">
        <f t="shared" si="105"/>
        <v>6.6270388805204306E-2</v>
      </c>
      <c r="L152" s="14">
        <f t="shared" ref="L152:L183" si="153">p/2*(1+k)*(1-(R_/J152)^2)-p/2*(1-k)*(1-4*(R_/J152)^2+3*(R_/J152)^4)*COS(2*I152)</f>
        <v>0.48831974805224682</v>
      </c>
      <c r="M152" s="14">
        <f t="shared" ref="M152:M183" si="154">p/2*(1+k)*(1+(R_/J152)^2)+p/2*(1-k)*(1+3*(R_/J152)^4)*COS(2*I152)</f>
        <v>1.0813614950359449</v>
      </c>
      <c r="N152" s="14">
        <f t="shared" ref="N152:N183" si="155">p/2*(1-k)*(1+2*(R_/J152)^2-3*(R_/J152)^4)*SIN(2*I152)</f>
        <v>0.26927627161668627</v>
      </c>
      <c r="O152" s="14">
        <f t="shared" si="106"/>
        <v>0.85826235310584109</v>
      </c>
      <c r="P152" s="14">
        <f t="shared" si="107"/>
        <v>0.71141888998235059</v>
      </c>
      <c r="Q152" s="14">
        <f t="shared" si="108"/>
        <v>-0.39375574688711223</v>
      </c>
      <c r="R152" s="1">
        <f t="shared" ref="R152:R183" si="156">nx1_*O152+ny1_*Q152</f>
        <v>0.61144148464038039</v>
      </c>
      <c r="S152" s="1">
        <f t="shared" ref="S152:S183" si="157">nx1_*Q152+ny1_*P152</f>
        <v>-5.6205284940383016E-2</v>
      </c>
      <c r="T152" s="1">
        <f t="shared" ref="T152:T183" si="158">(R152*nx1_+S152*ny1_)*K152*1000</f>
        <v>35.149867173956672</v>
      </c>
      <c r="U152" s="1">
        <f t="shared" ref="U152:U183" si="159">(R152*mx1_+S152*my1_)*K152*1000</f>
        <v>20.500454831278169</v>
      </c>
      <c r="V152" s="1">
        <f t="shared" si="109"/>
        <v>0</v>
      </c>
      <c r="W152" s="1">
        <f t="shared" ref="W152:W183" si="160">IF(-T152&gt;=σt*K152,0,T152)</f>
        <v>35.149867173956672</v>
      </c>
      <c r="X152" s="1">
        <f t="shared" ref="X152:X183" si="161">IF(-T152&gt;=σt*K152,0,SIGN(U152)*IF(T152&lt;0,MIN(ABS(U152),c_*K152),MIN(ABS(U152),c_*K152+T152*TAN(φ))))</f>
        <v>20.293785274863474</v>
      </c>
      <c r="Z152" s="14">
        <f t="shared" si="147"/>
        <v>1.8985303752249274</v>
      </c>
      <c r="AA152" s="14">
        <f t="shared" ref="AA152:AA183" si="162">R_*SIN(PI()-Z152-θ2-θ0)/COS(α2-PI()+Z152+θ0)</f>
        <v>5.2180014513606805</v>
      </c>
      <c r="AB152" s="14">
        <f t="shared" ref="AB152:AB183" si="163">R_*SIN(PI()/2-α2+θ2)/SIN(PI()/2+α2-PI()+Z152+θ0)</f>
        <v>7.2268623306662052</v>
      </c>
      <c r="AC152" s="14">
        <f t="shared" si="111"/>
        <v>-2.3263162320487516</v>
      </c>
      <c r="AD152" s="14">
        <f t="shared" si="112"/>
        <v>6.842206656840224</v>
      </c>
      <c r="AE152" s="14">
        <f t="shared" si="113"/>
        <v>1.8953790862977153</v>
      </c>
      <c r="AF152" s="14">
        <f t="shared" ref="AF152:AF183" si="164">R_*SIN(PI()/2-α2+θ2)/SIN(PI()/2+α2-PI()+AE152)</f>
        <v>7.2507437129894603</v>
      </c>
      <c r="AG152" s="14">
        <f t="shared" si="114"/>
        <v>6.627038880520697E-2</v>
      </c>
      <c r="AH152" s="14">
        <f t="shared" ref="AH152:AH183" si="165">p/2*(1+k)*(1-(R_/AF152)^2)-p/2*(1-k)*(1-4*(R_/AF152)^2+3*(R_/AF152)^4)*COS(2*AE152)</f>
        <v>0.48831974805226658</v>
      </c>
      <c r="AI152" s="14">
        <f t="shared" ref="AI152:AI183" si="166">p/2*(1+k)*(1+(R_/AF152)^2)+p/2*(1-k)*(1+3*(R_/AF152)^4)*COS(2*AE152)</f>
        <v>1.08136149503593</v>
      </c>
      <c r="AJ152" s="14">
        <f t="shared" ref="AJ152:AJ183" si="167">p/2*(1-k)*(1+2*(R_/AF152)^2-3*(R_/AF152)^4)*SIN(2*AE152)</f>
        <v>-0.26927627161667794</v>
      </c>
      <c r="AK152" s="14">
        <f t="shared" si="115"/>
        <v>0.85826235310584731</v>
      </c>
      <c r="AL152" s="14">
        <f t="shared" si="116"/>
        <v>0.71141888998234948</v>
      </c>
      <c r="AM152" s="14">
        <f t="shared" si="117"/>
        <v>0.39421066954990053</v>
      </c>
      <c r="AN152" s="1">
        <f t="shared" ref="AN152:AN183" si="168">nx2_*AK152+ny2_*AM152</f>
        <v>-0.61124922601541209</v>
      </c>
      <c r="AO152" s="1">
        <f t="shared" ref="AO152:AO183" si="169">nx2_*AM152+ny2_*AL152</f>
        <v>-5.6617584892167949E-2</v>
      </c>
      <c r="AP152" s="1">
        <f t="shared" ref="AP152:AP183" si="170">(AN152*nx2_+AO152*ny2_)*AG152*1000</f>
        <v>35.126772541359344</v>
      </c>
      <c r="AQ152" s="1">
        <f t="shared" ref="AQ152:AQ183" si="171">(AN152*mx2_+AO152*my2_)*AG152*1000</f>
        <v>20.519833528975244</v>
      </c>
      <c r="AR152" s="1">
        <f t="shared" si="118"/>
        <v>0</v>
      </c>
      <c r="AS152" s="1">
        <f t="shared" ref="AS152:AS183" si="172">IF(-AP152&gt;=σt*AG152,0,AP152)</f>
        <v>35.126772541359344</v>
      </c>
      <c r="AT152" s="1">
        <f t="shared" ref="AT152:AT183" si="173">IF(-AP152&gt;=σt*AG152,0,SIGN(AQ152)*IF(AP152&lt;0,MIN(ABS(AQ152),c_*AG152),MIN(ABS(AQ152),c_*AG152+AP152*TAN(φ))))</f>
        <v>20.280451582516569</v>
      </c>
    </row>
    <row r="153" spans="1:46" x14ac:dyDescent="0.25">
      <c r="A153" s="14">
        <f t="shared" si="119"/>
        <v>4.5029494701453689</v>
      </c>
      <c r="B153" s="14">
        <f t="shared" si="148"/>
        <v>-1.0395584540888034</v>
      </c>
      <c r="C153" s="14">
        <f t="shared" si="149"/>
        <v>-4.8907380036690267</v>
      </c>
      <c r="D153" s="14">
        <f t="shared" ref="D153:D184" si="174">D152+(PI()/2-θ1)/180</f>
        <v>1.2493648562192743</v>
      </c>
      <c r="E153" s="14">
        <f t="shared" si="150"/>
        <v>5.2842718401657249</v>
      </c>
      <c r="F153" s="14">
        <f t="shared" si="151"/>
        <v>7.2748559353961406</v>
      </c>
      <c r="G153" s="14">
        <f t="shared" ref="G153:G204" si="175">F153*COS(D153)</f>
        <v>2.2983091555270847</v>
      </c>
      <c r="H153" s="14">
        <f t="shared" ref="H153:H204" si="176">F153*SIN(D153)</f>
        <v>6.9022680262641813</v>
      </c>
      <c r="I153" s="14">
        <f t="shared" ref="I153:I203" si="177">(D153+D154)/2</f>
        <v>1.2525161451464863</v>
      </c>
      <c r="J153" s="14">
        <f t="shared" si="152"/>
        <v>7.299201789849902</v>
      </c>
      <c r="K153" s="14">
        <f t="shared" ref="K153:K203" si="178">(E154-E153)</f>
        <v>6.7159162396307259E-2</v>
      </c>
      <c r="L153" s="14">
        <f t="shared" si="153"/>
        <v>0.49640023978193393</v>
      </c>
      <c r="M153" s="14">
        <f t="shared" si="154"/>
        <v>1.0753348691423503</v>
      </c>
      <c r="N153" s="14">
        <f t="shared" si="155"/>
        <v>0.26587459563528587</v>
      </c>
      <c r="O153" s="14">
        <f t="shared" ref="O153:O203" si="179">L153*COS(I153)^2+M153*SIN(I153)^2-N153*SIN(2*I153)</f>
        <v>0.8605966575538857</v>
      </c>
      <c r="P153" s="14">
        <f t="shared" ref="P153:P203" si="180">L153*SIN(I153)^2+M153*COS(I153)^2+N153*SIN(2*I153)</f>
        <v>0.71113845137039833</v>
      </c>
      <c r="Q153" s="14">
        <f t="shared" ref="Q153:Q203" si="181">0.5*(L153-M153)*SIN(2*I153)+N153*COS(2*I153)</f>
        <v>-0.38587068821497827</v>
      </c>
      <c r="R153" s="1">
        <f t="shared" si="156"/>
        <v>0.61688945272869822</v>
      </c>
      <c r="S153" s="1">
        <f t="shared" si="157"/>
        <v>-4.9177513343295398E-2</v>
      </c>
      <c r="T153" s="1">
        <f t="shared" si="158"/>
        <v>36.152341224199425</v>
      </c>
      <c r="U153" s="1">
        <f t="shared" si="159"/>
        <v>20.502262560991682</v>
      </c>
      <c r="V153" s="1">
        <f t="shared" ref="V153:V204" si="182">IF(SQRT((W153-T153)^2+(U153-X153)^2)&gt;0.001,0,K153)</f>
        <v>6.7159162396307259E-2</v>
      </c>
      <c r="W153" s="1">
        <f t="shared" si="160"/>
        <v>36.152341224199425</v>
      </c>
      <c r="X153" s="1">
        <f t="shared" si="161"/>
        <v>20.502262560991682</v>
      </c>
      <c r="Z153" s="14">
        <f t="shared" ref="Z153:Z184" si="183">Z152-(PI()/2-θ2)/180</f>
        <v>1.8922277973705035</v>
      </c>
      <c r="AA153" s="14">
        <f t="shared" si="162"/>
        <v>5.2842718401658875</v>
      </c>
      <c r="AB153" s="14">
        <f t="shared" si="163"/>
        <v>7.2748559353962579</v>
      </c>
      <c r="AC153" s="14">
        <f t="shared" ref="AC153:AC204" si="184">AB153*COS(Z153)</f>
        <v>-2.298309155527015</v>
      </c>
      <c r="AD153" s="14">
        <f t="shared" ref="AD153:AD204" si="185">AB153*SIN(Z153)</f>
        <v>6.9022680262643279</v>
      </c>
      <c r="AE153" s="14">
        <f t="shared" ref="AE153:AE203" si="186">(Z153+Z154)/2</f>
        <v>1.8890765084432917</v>
      </c>
      <c r="AF153" s="14">
        <f t="shared" si="164"/>
        <v>7.2992017898500201</v>
      </c>
      <c r="AG153" s="14">
        <f t="shared" ref="AG153:AG203" si="187">AA154-AA153</f>
        <v>6.7159162396309924E-2</v>
      </c>
      <c r="AH153" s="14">
        <f t="shared" si="165"/>
        <v>0.49640023978195352</v>
      </c>
      <c r="AI153" s="14">
        <f t="shared" si="166"/>
        <v>1.0753348691423359</v>
      </c>
      <c r="AJ153" s="14">
        <f t="shared" si="167"/>
        <v>-0.26587459563527754</v>
      </c>
      <c r="AK153" s="14">
        <f t="shared" ref="AK153:AK203" si="188">AH153*COS(AE153)^2+AI153*SIN(AE153)^2-AJ153*SIN(2*AE153)</f>
        <v>0.86059665755389148</v>
      </c>
      <c r="AL153" s="14">
        <f t="shared" ref="AL153:AL203" si="189">AH153*SIN(AE153)^2+AI153*COS(AE153)^2+AJ153*SIN(2*AE153)</f>
        <v>0.71113845137039777</v>
      </c>
      <c r="AM153" s="14">
        <f t="shared" ref="AM153:AM203" si="190">0.5*(AH153-AI153)*SIN(2*Z153)+AJ153*COS(2*Z153)</f>
        <v>0.38633400724062278</v>
      </c>
      <c r="AN153" s="1">
        <f t="shared" si="168"/>
        <v>-0.6166936456474541</v>
      </c>
      <c r="AO153" s="1">
        <f t="shared" si="169"/>
        <v>-4.9597422984119455E-2</v>
      </c>
      <c r="AP153" s="1">
        <f t="shared" si="170"/>
        <v>36.128504895157462</v>
      </c>
      <c r="AQ153" s="1">
        <f t="shared" si="171"/>
        <v>20.522263615901842</v>
      </c>
      <c r="AR153" s="1">
        <f t="shared" ref="AR153:AR204" si="191">IF(SQRT((AS153-AP153)^2+(AQ153-AT153)^2)&gt;0.001,0,AG153)</f>
        <v>6.7159162396309924E-2</v>
      </c>
      <c r="AS153" s="1">
        <f t="shared" si="172"/>
        <v>36.128504895157462</v>
      </c>
      <c r="AT153" s="1">
        <f t="shared" si="173"/>
        <v>20.522263615901842</v>
      </c>
    </row>
    <row r="154" spans="1:46" x14ac:dyDescent="0.25">
      <c r="A154" s="14">
        <f t="shared" ref="A154:A204" si="192">A153+2*PI()/180</f>
        <v>4.5378560551852551</v>
      </c>
      <c r="B154" s="14">
        <f t="shared" si="148"/>
        <v>-0.8682408883346604</v>
      </c>
      <c r="C154" s="14">
        <f t="shared" si="149"/>
        <v>-4.9240387650610389</v>
      </c>
      <c r="D154" s="14">
        <f t="shared" si="174"/>
        <v>1.2556674340736982</v>
      </c>
      <c r="E154" s="14">
        <f t="shared" si="150"/>
        <v>5.3514310025620322</v>
      </c>
      <c r="F154" s="14">
        <f t="shared" si="151"/>
        <v>7.323784115823055</v>
      </c>
      <c r="G154" s="14">
        <f t="shared" si="175"/>
        <v>2.2699264670551957</v>
      </c>
      <c r="H154" s="14">
        <f t="shared" si="176"/>
        <v>6.9631348981148147</v>
      </c>
      <c r="I154" s="14">
        <f t="shared" si="177"/>
        <v>1.25881872300091</v>
      </c>
      <c r="J154" s="14">
        <f t="shared" si="152"/>
        <v>7.3486058012933961</v>
      </c>
      <c r="K154" s="14">
        <f t="shared" si="178"/>
        <v>6.80713805005011E-2</v>
      </c>
      <c r="L154" s="14">
        <f t="shared" si="153"/>
        <v>0.50458954555123592</v>
      </c>
      <c r="M154" s="14">
        <f t="shared" si="154"/>
        <v>1.069409832812962</v>
      </c>
      <c r="N154" s="14">
        <f t="shared" si="155"/>
        <v>0.26234406031619745</v>
      </c>
      <c r="O154" s="14">
        <f t="shared" si="179"/>
        <v>0.8629219844742041</v>
      </c>
      <c r="P154" s="14">
        <f t="shared" si="180"/>
        <v>0.7110773938899938</v>
      </c>
      <c r="Q154" s="14">
        <f t="shared" si="181"/>
        <v>-0.37790964566463736</v>
      </c>
      <c r="R154" s="1">
        <f t="shared" si="156"/>
        <v>0.62236139658825762</v>
      </c>
      <c r="S154" s="1">
        <f t="shared" si="157"/>
        <v>-4.1988162493226122E-2</v>
      </c>
      <c r="T154" s="1">
        <f t="shared" si="158"/>
        <v>37.187804673437988</v>
      </c>
      <c r="U154" s="1">
        <f t="shared" si="159"/>
        <v>20.494624254931139</v>
      </c>
      <c r="V154" s="1">
        <f t="shared" si="182"/>
        <v>6.80713805005011E-2</v>
      </c>
      <c r="W154" s="1">
        <f t="shared" si="160"/>
        <v>37.187804673437988</v>
      </c>
      <c r="X154" s="1">
        <f t="shared" si="161"/>
        <v>20.494624254931139</v>
      </c>
      <c r="Z154" s="14">
        <f t="shared" si="183"/>
        <v>1.8859252195160796</v>
      </c>
      <c r="AA154" s="14">
        <f t="shared" si="162"/>
        <v>5.3514310025621974</v>
      </c>
      <c r="AB154" s="14">
        <f t="shared" si="163"/>
        <v>7.3237841158231749</v>
      </c>
      <c r="AC154" s="14">
        <f t="shared" si="184"/>
        <v>-2.2699264670551251</v>
      </c>
      <c r="AD154" s="14">
        <f t="shared" si="185"/>
        <v>6.9631348981149639</v>
      </c>
      <c r="AE154" s="14">
        <f t="shared" si="186"/>
        <v>1.8827739305888676</v>
      </c>
      <c r="AF154" s="14">
        <f t="shared" si="164"/>
        <v>7.3486058012935196</v>
      </c>
      <c r="AG154" s="14">
        <f t="shared" si="187"/>
        <v>6.8071380500502876E-2</v>
      </c>
      <c r="AH154" s="14">
        <f t="shared" si="165"/>
        <v>0.50458954555125624</v>
      </c>
      <c r="AI154" s="14">
        <f t="shared" si="166"/>
        <v>1.0694098328129473</v>
      </c>
      <c r="AJ154" s="14">
        <f t="shared" si="167"/>
        <v>-0.26234406031618845</v>
      </c>
      <c r="AK154" s="14">
        <f t="shared" si="188"/>
        <v>0.86292198447420976</v>
      </c>
      <c r="AL154" s="14">
        <f t="shared" si="189"/>
        <v>0.71107739388999369</v>
      </c>
      <c r="AM154" s="14">
        <f t="shared" si="190"/>
        <v>0.37838064294291607</v>
      </c>
      <c r="AN154" s="1">
        <f t="shared" si="168"/>
        <v>-0.62216234453723196</v>
      </c>
      <c r="AO154" s="1">
        <f t="shared" si="169"/>
        <v>-4.241503099420324E-2</v>
      </c>
      <c r="AP154" s="1">
        <f t="shared" si="170"/>
        <v>37.163244189361684</v>
      </c>
      <c r="AQ154" s="1">
        <f t="shared" si="171"/>
        <v>20.515232948062859</v>
      </c>
      <c r="AR154" s="1">
        <f t="shared" si="191"/>
        <v>6.8071380500502876E-2</v>
      </c>
      <c r="AS154" s="1">
        <f t="shared" si="172"/>
        <v>37.163244189361684</v>
      </c>
      <c r="AT154" s="1">
        <f t="shared" si="173"/>
        <v>20.515232948062859</v>
      </c>
    </row>
    <row r="155" spans="1:46" x14ac:dyDescent="0.25">
      <c r="A155" s="14">
        <f t="shared" si="192"/>
        <v>4.5727626402251413</v>
      </c>
      <c r="B155" s="14">
        <f t="shared" si="148"/>
        <v>-0.69586550480033793</v>
      </c>
      <c r="C155" s="14">
        <f t="shared" si="149"/>
        <v>-4.9513403437078498</v>
      </c>
      <c r="D155" s="14">
        <f t="shared" si="174"/>
        <v>1.2619700119281221</v>
      </c>
      <c r="E155" s="14">
        <f t="shared" si="150"/>
        <v>5.4195023830625333</v>
      </c>
      <c r="F155" s="14">
        <f t="shared" si="151"/>
        <v>7.3736697837657807</v>
      </c>
      <c r="G155" s="14">
        <f t="shared" si="175"/>
        <v>2.2411582585537846</v>
      </c>
      <c r="H155" s="14">
        <f t="shared" si="176"/>
        <v>7.0248285203367535</v>
      </c>
      <c r="I155" s="14">
        <f t="shared" si="177"/>
        <v>1.2651213008553341</v>
      </c>
      <c r="J155" s="14">
        <f t="shared" si="152"/>
        <v>7.3989790513198539</v>
      </c>
      <c r="K155" s="14">
        <f t="shared" si="178"/>
        <v>6.9007831323188995E-2</v>
      </c>
      <c r="L155" s="14">
        <f t="shared" si="153"/>
        <v>0.51288697153871421</v>
      </c>
      <c r="M155" s="14">
        <f t="shared" si="154"/>
        <v>1.0635831622588587</v>
      </c>
      <c r="N155" s="14">
        <f t="shared" si="155"/>
        <v>0.25868744204113853</v>
      </c>
      <c r="O155" s="14">
        <f t="shared" si="179"/>
        <v>0.86523068961408112</v>
      </c>
      <c r="P155" s="14">
        <f t="shared" si="180"/>
        <v>0.71123944418349194</v>
      </c>
      <c r="Q155" s="14">
        <f t="shared" si="181"/>
        <v>-0.369874898270876</v>
      </c>
      <c r="R155" s="1">
        <f t="shared" si="156"/>
        <v>0.62784942501157681</v>
      </c>
      <c r="S155" s="1">
        <f t="shared" si="157"/>
        <v>-3.4637722950035033E-2</v>
      </c>
      <c r="T155" s="1">
        <f t="shared" si="158"/>
        <v>38.25699549923506</v>
      </c>
      <c r="U155" s="1">
        <f t="shared" si="159"/>
        <v>20.476905688677892</v>
      </c>
      <c r="V155" s="1">
        <f t="shared" si="182"/>
        <v>6.9007831323188995E-2</v>
      </c>
      <c r="W155" s="1">
        <f t="shared" si="160"/>
        <v>38.25699549923506</v>
      </c>
      <c r="X155" s="1">
        <f t="shared" si="161"/>
        <v>20.476905688677892</v>
      </c>
      <c r="Z155" s="14">
        <f t="shared" si="183"/>
        <v>1.8796226416616557</v>
      </c>
      <c r="AA155" s="14">
        <f t="shared" si="162"/>
        <v>5.4195023830627003</v>
      </c>
      <c r="AB155" s="14">
        <f t="shared" si="163"/>
        <v>7.3736697837659024</v>
      </c>
      <c r="AC155" s="14">
        <f t="shared" si="184"/>
        <v>-2.2411582585537131</v>
      </c>
      <c r="AD155" s="14">
        <f t="shared" si="185"/>
        <v>7.0248285203369045</v>
      </c>
      <c r="AE155" s="14">
        <f t="shared" si="186"/>
        <v>1.8764713527344439</v>
      </c>
      <c r="AF155" s="14">
        <f t="shared" si="164"/>
        <v>7.3989790513199774</v>
      </c>
      <c r="AG155" s="14">
        <f t="shared" si="187"/>
        <v>6.9007831323190771E-2</v>
      </c>
      <c r="AH155" s="14">
        <f t="shared" si="165"/>
        <v>0.51288697153873453</v>
      </c>
      <c r="AI155" s="14">
        <f t="shared" si="166"/>
        <v>1.0635831622588447</v>
      </c>
      <c r="AJ155" s="14">
        <f t="shared" si="167"/>
        <v>-0.25868744204112953</v>
      </c>
      <c r="AK155" s="14">
        <f t="shared" si="188"/>
        <v>0.86523068961408656</v>
      </c>
      <c r="AL155" s="14">
        <f t="shared" si="189"/>
        <v>0.71123944418349272</v>
      </c>
      <c r="AM155" s="14">
        <f t="shared" si="190"/>
        <v>0.37035281981356644</v>
      </c>
      <c r="AN155" s="1">
        <f t="shared" si="168"/>
        <v>-0.6276474466399613</v>
      </c>
      <c r="AO155" s="1">
        <f t="shared" si="169"/>
        <v>-3.5070866965767611E-2</v>
      </c>
      <c r="AP155" s="1">
        <f t="shared" si="170"/>
        <v>38.231731101317614</v>
      </c>
      <c r="AQ155" s="1">
        <f t="shared" si="171"/>
        <v>20.49810503565406</v>
      </c>
      <c r="AR155" s="1">
        <f t="shared" si="191"/>
        <v>6.9007831323190771E-2</v>
      </c>
      <c r="AS155" s="1">
        <f t="shared" si="172"/>
        <v>38.231731101317614</v>
      </c>
      <c r="AT155" s="1">
        <f t="shared" si="173"/>
        <v>20.49810503565406</v>
      </c>
    </row>
    <row r="156" spans="1:46" x14ac:dyDescent="0.25">
      <c r="A156" s="14">
        <f t="shared" si="192"/>
        <v>4.6076692252650275</v>
      </c>
      <c r="B156" s="14">
        <f t="shared" si="148"/>
        <v>-0.52264231633828007</v>
      </c>
      <c r="C156" s="14">
        <f t="shared" si="149"/>
        <v>-4.9726094768413649</v>
      </c>
      <c r="D156" s="14">
        <f t="shared" si="174"/>
        <v>1.268272589782546</v>
      </c>
      <c r="E156" s="14">
        <f t="shared" si="150"/>
        <v>5.4885102143857223</v>
      </c>
      <c r="F156" s="14">
        <f t="shared" si="151"/>
        <v>7.4245366436846698</v>
      </c>
      <c r="G156" s="14">
        <f t="shared" si="175"/>
        <v>2.2119942888334827</v>
      </c>
      <c r="H156" s="14">
        <f t="shared" si="176"/>
        <v>7.0873708552314714</v>
      </c>
      <c r="I156" s="14">
        <f t="shared" si="177"/>
        <v>1.2714238787097578</v>
      </c>
      <c r="J156" s="14">
        <f t="shared" si="152"/>
        <v>7.450345653340924</v>
      </c>
      <c r="K156" s="14">
        <f t="shared" si="178"/>
        <v>6.996933710698805E-2</v>
      </c>
      <c r="L156" s="14">
        <f t="shared" si="153"/>
        <v>0.52129168687314098</v>
      </c>
      <c r="M156" s="14">
        <f t="shared" si="154"/>
        <v>1.0578516825371647</v>
      </c>
      <c r="N156" s="14">
        <f t="shared" si="155"/>
        <v>0.25490761442910193</v>
      </c>
      <c r="O156" s="14">
        <f t="shared" si="179"/>
        <v>0.86751517480552454</v>
      </c>
      <c r="P156" s="14">
        <f t="shared" si="180"/>
        <v>0.71162819460478111</v>
      </c>
      <c r="Q156" s="14">
        <f t="shared" si="181"/>
        <v>-0.36176907203581299</v>
      </c>
      <c r="R156" s="1">
        <f t="shared" si="156"/>
        <v>0.63334554192338632</v>
      </c>
      <c r="S156" s="1">
        <f t="shared" si="157"/>
        <v>-2.7127056485535317E-2</v>
      </c>
      <c r="T156" s="1">
        <f t="shared" si="158"/>
        <v>39.360663341931314</v>
      </c>
      <c r="U156" s="1">
        <f t="shared" si="159"/>
        <v>20.448458622517801</v>
      </c>
      <c r="V156" s="1">
        <f t="shared" si="182"/>
        <v>6.996933710698805E-2</v>
      </c>
      <c r="W156" s="1">
        <f t="shared" si="160"/>
        <v>39.360663341931314</v>
      </c>
      <c r="X156" s="1">
        <f t="shared" si="161"/>
        <v>20.448458622517801</v>
      </c>
      <c r="Z156" s="14">
        <f t="shared" si="183"/>
        <v>1.8733200638072318</v>
      </c>
      <c r="AA156" s="14">
        <f t="shared" si="162"/>
        <v>5.488510214385891</v>
      </c>
      <c r="AB156" s="14">
        <f t="shared" si="163"/>
        <v>7.424536643684795</v>
      </c>
      <c r="AC156" s="14">
        <f t="shared" si="184"/>
        <v>-2.2119942888334108</v>
      </c>
      <c r="AD156" s="14">
        <f t="shared" si="185"/>
        <v>7.087370855231625</v>
      </c>
      <c r="AE156" s="14">
        <f t="shared" si="186"/>
        <v>1.8701687748800198</v>
      </c>
      <c r="AF156" s="14">
        <f t="shared" si="164"/>
        <v>7.4503456533410519</v>
      </c>
      <c r="AG156" s="14">
        <f t="shared" si="187"/>
        <v>6.9969337106990714E-2</v>
      </c>
      <c r="AH156" s="14">
        <f t="shared" si="165"/>
        <v>0.52129168687316185</v>
      </c>
      <c r="AI156" s="14">
        <f t="shared" si="166"/>
        <v>1.0578516825371502</v>
      </c>
      <c r="AJ156" s="14">
        <f t="shared" si="167"/>
        <v>-0.25490761442909238</v>
      </c>
      <c r="AK156" s="14">
        <f t="shared" si="188"/>
        <v>0.86751517480552987</v>
      </c>
      <c r="AL156" s="14">
        <f t="shared" si="189"/>
        <v>0.71162819460478222</v>
      </c>
      <c r="AM156" s="14">
        <f t="shared" si="190"/>
        <v>0.36225312853820069</v>
      </c>
      <c r="AN156" s="1">
        <f t="shared" si="168"/>
        <v>-0.6331409708057677</v>
      </c>
      <c r="AO156" s="1">
        <f t="shared" si="169"/>
        <v>-2.7565760663014471E-2</v>
      </c>
      <c r="AP156" s="1">
        <f t="shared" si="170"/>
        <v>39.334718096436816</v>
      </c>
      <c r="AQ156" s="1">
        <f t="shared" si="171"/>
        <v>20.470229268445443</v>
      </c>
      <c r="AR156" s="1">
        <f t="shared" si="191"/>
        <v>6.9969337106990714E-2</v>
      </c>
      <c r="AS156" s="1">
        <f t="shared" si="172"/>
        <v>39.334718096436816</v>
      </c>
      <c r="AT156" s="1">
        <f t="shared" si="173"/>
        <v>20.470229268445443</v>
      </c>
    </row>
    <row r="157" spans="1:46" x14ac:dyDescent="0.25">
      <c r="A157" s="14">
        <f t="shared" si="192"/>
        <v>4.6425758103049137</v>
      </c>
      <c r="B157" s="14">
        <f t="shared" si="148"/>
        <v>-0.34878236872064122</v>
      </c>
      <c r="C157" s="14">
        <f t="shared" si="149"/>
        <v>-4.9878202512991203</v>
      </c>
      <c r="D157" s="14">
        <f t="shared" si="174"/>
        <v>1.2745751676369699</v>
      </c>
      <c r="E157" s="14">
        <f t="shared" si="150"/>
        <v>5.5584795514927103</v>
      </c>
      <c r="F157" s="14">
        <f t="shared" si="151"/>
        <v>7.4764092266516959</v>
      </c>
      <c r="G157" s="14">
        <f t="shared" si="175"/>
        <v>2.1824239692101788</v>
      </c>
      <c r="H157" s="14">
        <f t="shared" si="176"/>
        <v>7.1507846103053261</v>
      </c>
      <c r="I157" s="14">
        <f t="shared" si="177"/>
        <v>1.2777264565641819</v>
      </c>
      <c r="J157" s="14">
        <f t="shared" si="152"/>
        <v>7.5027305650225156</v>
      </c>
      <c r="K157" s="14">
        <f t="shared" si="178"/>
        <v>7.0956755901772972E-2</v>
      </c>
      <c r="L157" s="14">
        <f t="shared" si="153"/>
        <v>0.52980272235097603</v>
      </c>
      <c r="M157" s="14">
        <f t="shared" si="154"/>
        <v>1.0522122717663567</v>
      </c>
      <c r="N157" s="14">
        <f t="shared" si="155"/>
        <v>0.25100754417433757</v>
      </c>
      <c r="O157" s="14">
        <f t="shared" si="179"/>
        <v>0.86976790833121942</v>
      </c>
      <c r="P157" s="14">
        <f t="shared" si="180"/>
        <v>0.71224708578611318</v>
      </c>
      <c r="Q157" s="14">
        <f t="shared" si="181"/>
        <v>-0.35359513455180003</v>
      </c>
      <c r="R157" s="1">
        <f t="shared" si="156"/>
        <v>0.63884166711091273</v>
      </c>
      <c r="S157" s="1">
        <f t="shared" si="157"/>
        <v>-1.9457398577762353E-2</v>
      </c>
      <c r="T157" s="1">
        <f t="shared" si="158"/>
        <v>40.499570739189934</v>
      </c>
      <c r="U157" s="1">
        <f t="shared" si="159"/>
        <v>20.408620926544852</v>
      </c>
      <c r="V157" s="1">
        <f t="shared" si="182"/>
        <v>7.0956755901772972E-2</v>
      </c>
      <c r="W157" s="1">
        <f t="shared" si="160"/>
        <v>40.499570739189934</v>
      </c>
      <c r="X157" s="1">
        <f t="shared" si="161"/>
        <v>20.408620926544852</v>
      </c>
      <c r="Z157" s="14">
        <f t="shared" si="183"/>
        <v>1.8670174859528079</v>
      </c>
      <c r="AA157" s="14">
        <f t="shared" si="162"/>
        <v>5.5584795514928818</v>
      </c>
      <c r="AB157" s="14">
        <f t="shared" si="163"/>
        <v>7.4764092266518229</v>
      </c>
      <c r="AC157" s="14">
        <f t="shared" si="184"/>
        <v>-2.1824239692101055</v>
      </c>
      <c r="AD157" s="14">
        <f t="shared" si="185"/>
        <v>7.1507846103054815</v>
      </c>
      <c r="AE157" s="14">
        <f t="shared" si="186"/>
        <v>1.8638661970255961</v>
      </c>
      <c r="AF157" s="14">
        <f t="shared" si="164"/>
        <v>7.5027305650226417</v>
      </c>
      <c r="AG157" s="14">
        <f t="shared" si="187"/>
        <v>7.0956755901774748E-2</v>
      </c>
      <c r="AH157" s="14">
        <f t="shared" si="165"/>
        <v>0.52980272235099635</v>
      </c>
      <c r="AI157" s="14">
        <f t="shared" si="166"/>
        <v>1.0522122717663431</v>
      </c>
      <c r="AJ157" s="14">
        <f t="shared" si="167"/>
        <v>-0.25100754417432802</v>
      </c>
      <c r="AK157" s="14">
        <f t="shared" si="188"/>
        <v>0.86976790833122486</v>
      </c>
      <c r="AL157" s="14">
        <f t="shared" si="189"/>
        <v>0.71224708578611462</v>
      </c>
      <c r="AM157" s="14">
        <f t="shared" si="190"/>
        <v>0.35408450207341813</v>
      </c>
      <c r="AN157" s="1">
        <f t="shared" si="168"/>
        <v>-0.63863485145957921</v>
      </c>
      <c r="AO157" s="1">
        <f t="shared" si="169"/>
        <v>-1.990091617332701E-2</v>
      </c>
      <c r="AP157" s="1">
        <f t="shared" si="170"/>
        <v>40.472970664209733</v>
      </c>
      <c r="AQ157" s="1">
        <f t="shared" si="171"/>
        <v>20.430941039651788</v>
      </c>
      <c r="AR157" s="1">
        <f t="shared" si="191"/>
        <v>7.0956755901774748E-2</v>
      </c>
      <c r="AS157" s="1">
        <f t="shared" si="172"/>
        <v>40.472970664209733</v>
      </c>
      <c r="AT157" s="1">
        <f t="shared" si="173"/>
        <v>20.430941039651788</v>
      </c>
    </row>
    <row r="158" spans="1:46" x14ac:dyDescent="0.25">
      <c r="A158" s="14">
        <f t="shared" si="192"/>
        <v>4.6774823953447999</v>
      </c>
      <c r="B158" s="14">
        <f t="shared" si="148"/>
        <v>-0.17449748351252153</v>
      </c>
      <c r="C158" s="14">
        <f t="shared" si="149"/>
        <v>-4.9969541350954785</v>
      </c>
      <c r="D158" s="14">
        <f t="shared" si="174"/>
        <v>1.2808777454913938</v>
      </c>
      <c r="E158" s="14">
        <f t="shared" si="150"/>
        <v>5.6294363073944833</v>
      </c>
      <c r="F158" s="14">
        <f t="shared" si="151"/>
        <v>7.5293129260916798</v>
      </c>
      <c r="G158" s="14">
        <f t="shared" si="175"/>
        <v>2.1524363483722118</v>
      </c>
      <c r="H158" s="14">
        <f t="shared" si="176"/>
        <v>7.2150932707219626</v>
      </c>
      <c r="I158" s="14">
        <f t="shared" si="177"/>
        <v>1.2840290344186056</v>
      </c>
      <c r="J158" s="14">
        <f t="shared" si="152"/>
        <v>7.5561596249517304</v>
      </c>
      <c r="K158" s="14">
        <f t="shared" si="178"/>
        <v>7.1970983443256031E-2</v>
      </c>
      <c r="L158" s="14">
        <f t="shared" si="153"/>
        <v>0.53841896933869093</v>
      </c>
      <c r="M158" s="14">
        <f t="shared" si="154"/>
        <v>1.0466618652040187</v>
      </c>
      <c r="N158" s="14">
        <f t="shared" si="155"/>
        <v>0.24699028678268092</v>
      </c>
      <c r="O158" s="14">
        <f t="shared" si="179"/>
        <v>0.87198144497715135</v>
      </c>
      <c r="P158" s="14">
        <f t="shared" si="180"/>
        <v>0.71309938956555818</v>
      </c>
      <c r="Q158" s="14">
        <f t="shared" si="181"/>
        <v>-0.34535638865008916</v>
      </c>
      <c r="R158" s="1">
        <f t="shared" si="156"/>
        <v>0.64432965708191625</v>
      </c>
      <c r="S158" s="1">
        <f t="shared" si="157"/>
        <v>-1.1630359869881479E-2</v>
      </c>
      <c r="T158" s="1">
        <f t="shared" si="158"/>
        <v>41.674494472721996</v>
      </c>
      <c r="U158" s="1">
        <f t="shared" si="159"/>
        <v>20.356716685556222</v>
      </c>
      <c r="V158" s="1">
        <f t="shared" si="182"/>
        <v>7.1970983443256031E-2</v>
      </c>
      <c r="W158" s="1">
        <f t="shared" si="160"/>
        <v>41.674494472721996</v>
      </c>
      <c r="X158" s="1">
        <f t="shared" si="161"/>
        <v>20.356716685556222</v>
      </c>
      <c r="Z158" s="14">
        <f t="shared" si="183"/>
        <v>1.860714908098384</v>
      </c>
      <c r="AA158" s="14">
        <f t="shared" si="162"/>
        <v>5.6294363073946565</v>
      </c>
      <c r="AB158" s="14">
        <f t="shared" si="163"/>
        <v>7.5293129260918095</v>
      </c>
      <c r="AC158" s="14">
        <f t="shared" si="184"/>
        <v>-2.152436348372138</v>
      </c>
      <c r="AD158" s="14">
        <f t="shared" si="185"/>
        <v>7.2150932707221207</v>
      </c>
      <c r="AE158" s="14">
        <f t="shared" si="186"/>
        <v>1.857563619171172</v>
      </c>
      <c r="AF158" s="14">
        <f t="shared" si="164"/>
        <v>7.5561596249518628</v>
      </c>
      <c r="AG158" s="14">
        <f t="shared" si="187"/>
        <v>7.1970983443257808E-2</v>
      </c>
      <c r="AH158" s="14">
        <f t="shared" si="165"/>
        <v>0.53841896933871236</v>
      </c>
      <c r="AI158" s="14">
        <f t="shared" si="166"/>
        <v>1.0466618652040049</v>
      </c>
      <c r="AJ158" s="14">
        <f t="shared" si="167"/>
        <v>-0.24699028678267079</v>
      </c>
      <c r="AK158" s="14">
        <f t="shared" si="188"/>
        <v>0.87198144497715668</v>
      </c>
      <c r="AL158" s="14">
        <f t="shared" si="189"/>
        <v>0.71309938956556052</v>
      </c>
      <c r="AM158" s="14">
        <f t="shared" si="190"/>
        <v>0.34585020941256628</v>
      </c>
      <c r="AN158" s="1">
        <f t="shared" si="168"/>
        <v>-0.64412095940967151</v>
      </c>
      <c r="AO158" s="1">
        <f t="shared" si="169"/>
        <v>-1.2077913472313795E-2</v>
      </c>
      <c r="AP158" s="1">
        <f t="shared" si="170"/>
        <v>41.647268666486021</v>
      </c>
      <c r="AQ158" s="1">
        <f t="shared" si="171"/>
        <v>20.379561849529058</v>
      </c>
      <c r="AR158" s="1">
        <f t="shared" si="191"/>
        <v>7.1970983443257808E-2</v>
      </c>
      <c r="AS158" s="1">
        <f t="shared" si="172"/>
        <v>41.647268666486021</v>
      </c>
      <c r="AT158" s="1">
        <f t="shared" si="173"/>
        <v>20.379561849529058</v>
      </c>
    </row>
    <row r="159" spans="1:46" x14ac:dyDescent="0.25">
      <c r="A159" s="14">
        <f t="shared" si="192"/>
        <v>4.7123889803846861</v>
      </c>
      <c r="B159" s="14">
        <f t="shared" si="148"/>
        <v>-1.868242973518397E-14</v>
      </c>
      <c r="C159" s="14">
        <f t="shared" si="149"/>
        <v>-5</v>
      </c>
      <c r="D159" s="14">
        <f t="shared" si="174"/>
        <v>1.2871803233458177</v>
      </c>
      <c r="E159" s="14">
        <f t="shared" si="150"/>
        <v>5.7014072908377393</v>
      </c>
      <c r="F159" s="14">
        <f t="shared" si="151"/>
        <v>7.5832740354030284</v>
      </c>
      <c r="G159" s="14">
        <f t="shared" si="175"/>
        <v>2.1220200964536544</v>
      </c>
      <c r="H159" s="14">
        <f t="shared" si="176"/>
        <v>7.2803211334572708</v>
      </c>
      <c r="I159" s="14">
        <f t="shared" si="177"/>
        <v>1.2903316122730297</v>
      </c>
      <c r="J159" s="14">
        <f t="shared" si="152"/>
        <v>7.6106595912404398</v>
      </c>
      <c r="K159" s="14">
        <f t="shared" si="178"/>
        <v>7.3012955147707892E-2</v>
      </c>
      <c r="L159" s="14">
        <f t="shared" si="153"/>
        <v>0.54713917886238028</v>
      </c>
      <c r="M159" s="14">
        <f t="shared" si="154"/>
        <v>1.0411974591826523</v>
      </c>
      <c r="N159" s="14">
        <f t="shared" si="155"/>
        <v>0.24285898221258009</v>
      </c>
      <c r="O159" s="14">
        <f t="shared" si="179"/>
        <v>0.87414844572201744</v>
      </c>
      <c r="P159" s="14">
        <f t="shared" si="180"/>
        <v>0.71418819232301511</v>
      </c>
      <c r="Q159" s="14">
        <f t="shared" si="181"/>
        <v>-0.33705646509556553</v>
      </c>
      <c r="R159" s="1">
        <f t="shared" si="156"/>
        <v>0.64980132599669616</v>
      </c>
      <c r="S159" s="1">
        <f t="shared" si="157"/>
        <v>-3.6479265918728521E-3</v>
      </c>
      <c r="T159" s="1">
        <f t="shared" si="158"/>
        <v>42.88622703382412</v>
      </c>
      <c r="U159" s="1">
        <f t="shared" si="159"/>
        <v>20.292056280812449</v>
      </c>
      <c r="V159" s="1">
        <f t="shared" si="182"/>
        <v>7.3012955147707892E-2</v>
      </c>
      <c r="W159" s="1">
        <f t="shared" si="160"/>
        <v>42.88622703382412</v>
      </c>
      <c r="X159" s="1">
        <f t="shared" si="161"/>
        <v>20.292056280812449</v>
      </c>
      <c r="Z159" s="14">
        <f t="shared" si="183"/>
        <v>1.8544123302439601</v>
      </c>
      <c r="AA159" s="14">
        <f t="shared" si="162"/>
        <v>5.7014072908379143</v>
      </c>
      <c r="AB159" s="14">
        <f t="shared" si="163"/>
        <v>7.5832740354031616</v>
      </c>
      <c r="AC159" s="14">
        <f t="shared" si="184"/>
        <v>-2.1220200964535794</v>
      </c>
      <c r="AD159" s="14">
        <f t="shared" si="185"/>
        <v>7.2803211334574316</v>
      </c>
      <c r="AE159" s="14">
        <f t="shared" si="186"/>
        <v>1.8512610413167483</v>
      </c>
      <c r="AF159" s="14">
        <f t="shared" si="164"/>
        <v>7.6106595912405721</v>
      </c>
      <c r="AG159" s="14">
        <f t="shared" si="187"/>
        <v>7.3012955147711445E-2</v>
      </c>
      <c r="AH159" s="14">
        <f t="shared" si="165"/>
        <v>0.54713917886240115</v>
      </c>
      <c r="AI159" s="14">
        <f t="shared" si="166"/>
        <v>1.0411974591826392</v>
      </c>
      <c r="AJ159" s="14">
        <f t="shared" si="167"/>
        <v>-0.24285898221256999</v>
      </c>
      <c r="AK159" s="14">
        <f t="shared" si="188"/>
        <v>0.87414844572202255</v>
      </c>
      <c r="AL159" s="14">
        <f t="shared" si="189"/>
        <v>0.714188192323018</v>
      </c>
      <c r="AM159" s="14">
        <f t="shared" si="190"/>
        <v>0.33755384839518754</v>
      </c>
      <c r="AN159" s="1">
        <f t="shared" si="168"/>
        <v>-0.64959112273119568</v>
      </c>
      <c r="AO159" s="1">
        <f t="shared" si="169"/>
        <v>-4.0987089494609608E-3</v>
      </c>
      <c r="AP159" s="1">
        <f t="shared" si="170"/>
        <v>42.858407804653183</v>
      </c>
      <c r="AQ159" s="1">
        <f t="shared" si="171"/>
        <v>20.315399385752507</v>
      </c>
      <c r="AR159" s="1">
        <f t="shared" si="191"/>
        <v>7.3012955147711445E-2</v>
      </c>
      <c r="AS159" s="1">
        <f t="shared" si="172"/>
        <v>42.858407804653183</v>
      </c>
      <c r="AT159" s="1">
        <f t="shared" si="173"/>
        <v>20.315399385752507</v>
      </c>
    </row>
    <row r="160" spans="1:46" x14ac:dyDescent="0.25">
      <c r="A160" s="14">
        <f t="shared" si="192"/>
        <v>4.7472955654245723</v>
      </c>
      <c r="B160" s="14">
        <f t="shared" si="148"/>
        <v>0.1744974835124842</v>
      </c>
      <c r="C160" s="14">
        <f t="shared" si="149"/>
        <v>-4.9969541350954794</v>
      </c>
      <c r="D160" s="14">
        <f t="shared" si="174"/>
        <v>1.2934829012002416</v>
      </c>
      <c r="E160" s="14">
        <f t="shared" si="150"/>
        <v>5.7744202459854472</v>
      </c>
      <c r="F160" s="14">
        <f t="shared" si="151"/>
        <v>7.6383197875741384</v>
      </c>
      <c r="G160" s="14">
        <f t="shared" si="175"/>
        <v>2.0911634882645789</v>
      </c>
      <c r="H160" s="14">
        <f t="shared" si="176"/>
        <v>7.3464933432621953</v>
      </c>
      <c r="I160" s="14">
        <f t="shared" si="177"/>
        <v>1.2966341901274534</v>
      </c>
      <c r="J160" s="14">
        <f t="shared" si="152"/>
        <v>7.6662581821856053</v>
      </c>
      <c r="K160" s="14">
        <f t="shared" si="178"/>
        <v>7.4083648231162869E-2</v>
      </c>
      <c r="L160" s="14">
        <f t="shared" si="153"/>
        <v>0.55596196088681105</v>
      </c>
      <c r="M160" s="14">
        <f t="shared" si="154"/>
        <v>1.0358161148993996</v>
      </c>
      <c r="N160" s="14">
        <f t="shared" si="155"/>
        <v>0.23861685042730846</v>
      </c>
      <c r="O160" s="14">
        <f t="shared" si="179"/>
        <v>0.87626169701468837</v>
      </c>
      <c r="P160" s="14">
        <f t="shared" si="180"/>
        <v>0.71551637877152241</v>
      </c>
      <c r="Q160" s="14">
        <f t="shared" si="181"/>
        <v>-0.32869931435030192</v>
      </c>
      <c r="R160" s="1">
        <f t="shared" si="156"/>
        <v>0.65524846662027736</v>
      </c>
      <c r="S160" s="1">
        <f t="shared" si="157"/>
        <v>4.4875400541343757E-3</v>
      </c>
      <c r="T160" s="1">
        <f t="shared" si="158"/>
        <v>44.135578214901415</v>
      </c>
      <c r="U160" s="1">
        <f t="shared" si="159"/>
        <v>20.213936445597078</v>
      </c>
      <c r="V160" s="1">
        <f t="shared" si="182"/>
        <v>7.4083648231162869E-2</v>
      </c>
      <c r="W160" s="1">
        <f t="shared" si="160"/>
        <v>44.135578214901415</v>
      </c>
      <c r="X160" s="1">
        <f t="shared" si="161"/>
        <v>20.213936445597078</v>
      </c>
      <c r="Z160" s="14">
        <f t="shared" si="183"/>
        <v>1.8481097523895362</v>
      </c>
      <c r="AA160" s="14">
        <f t="shared" si="162"/>
        <v>5.7744202459856258</v>
      </c>
      <c r="AB160" s="14">
        <f t="shared" si="163"/>
        <v>7.6383197875742743</v>
      </c>
      <c r="AC160" s="14">
        <f t="shared" si="184"/>
        <v>-2.0911634882645025</v>
      </c>
      <c r="AD160" s="14">
        <f t="shared" si="185"/>
        <v>7.3464933432623587</v>
      </c>
      <c r="AE160" s="14">
        <f t="shared" si="186"/>
        <v>1.8449584634623242</v>
      </c>
      <c r="AF160" s="14">
        <f t="shared" si="164"/>
        <v>7.6662581821857438</v>
      </c>
      <c r="AG160" s="14">
        <f t="shared" si="187"/>
        <v>7.4083648231166421E-2</v>
      </c>
      <c r="AH160" s="14">
        <f t="shared" si="165"/>
        <v>0.55596196088683281</v>
      </c>
      <c r="AI160" s="14">
        <f t="shared" si="166"/>
        <v>1.0358161148993867</v>
      </c>
      <c r="AJ160" s="14">
        <f t="shared" si="167"/>
        <v>-0.23861685042729774</v>
      </c>
      <c r="AK160" s="14">
        <f t="shared" si="188"/>
        <v>0.87626169701469381</v>
      </c>
      <c r="AL160" s="14">
        <f t="shared" si="189"/>
        <v>0.71551637877152563</v>
      </c>
      <c r="AM160" s="14">
        <f t="shared" si="190"/>
        <v>0.32919933758255426</v>
      </c>
      <c r="AN160" s="1">
        <f t="shared" si="168"/>
        <v>-0.65503714767103771</v>
      </c>
      <c r="AO160" s="1">
        <f t="shared" si="169"/>
        <v>4.0343651050462892E-3</v>
      </c>
      <c r="AP160" s="1">
        <f t="shared" si="170"/>
        <v>44.107201212915086</v>
      </c>
      <c r="AQ160" s="1">
        <f t="shared" si="171"/>
        <v>20.237747577500837</v>
      </c>
      <c r="AR160" s="1">
        <f t="shared" si="191"/>
        <v>7.4083648231166421E-2</v>
      </c>
      <c r="AS160" s="1">
        <f t="shared" si="172"/>
        <v>44.107201212915086</v>
      </c>
      <c r="AT160" s="1">
        <f t="shared" si="173"/>
        <v>20.237747577500837</v>
      </c>
    </row>
    <row r="161" spans="1:46" x14ac:dyDescent="0.25">
      <c r="A161" s="14">
        <f t="shared" si="192"/>
        <v>4.7822021504644585</v>
      </c>
      <c r="B161" s="14">
        <f t="shared" si="148"/>
        <v>0.34878236872060386</v>
      </c>
      <c r="C161" s="14">
        <f t="shared" si="149"/>
        <v>-4.987820251299123</v>
      </c>
      <c r="D161" s="14">
        <f t="shared" si="174"/>
        <v>1.2997854790546655</v>
      </c>
      <c r="E161" s="14">
        <f t="shared" si="150"/>
        <v>5.8485038942166101</v>
      </c>
      <c r="F161" s="14">
        <f t="shared" si="151"/>
        <v>7.69447839691989</v>
      </c>
      <c r="G161" s="14">
        <f t="shared" si="175"/>
        <v>2.059854385625715</v>
      </c>
      <c r="H161" s="14">
        <f t="shared" si="176"/>
        <v>7.4136359305461843</v>
      </c>
      <c r="I161" s="14">
        <f t="shared" si="177"/>
        <v>1.3029367679818775</v>
      </c>
      <c r="J161" s="14">
        <f t="shared" si="152"/>
        <v>7.7229841191152877</v>
      </c>
      <c r="K161" s="14">
        <f t="shared" si="178"/>
        <v>7.5184083962009929E-2</v>
      </c>
      <c r="L161" s="14">
        <f t="shared" si="153"/>
        <v>0.56488578378583554</v>
      </c>
      <c r="M161" s="14">
        <f t="shared" si="154"/>
        <v>1.0305149620557632</v>
      </c>
      <c r="N161" s="14">
        <f t="shared" si="155"/>
        <v>0.23426718686494427</v>
      </c>
      <c r="O161" s="14">
        <f t="shared" si="179"/>
        <v>0.87831412959229116</v>
      </c>
      <c r="P161" s="14">
        <f t="shared" si="180"/>
        <v>0.7170866162493077</v>
      </c>
      <c r="Q161" s="14">
        <f t="shared" si="181"/>
        <v>-0.32028919743101902</v>
      </c>
      <c r="R161" s="1">
        <f t="shared" si="156"/>
        <v>0.66066287124118972</v>
      </c>
      <c r="S161" s="1">
        <f t="shared" si="157"/>
        <v>1.2773305541350921E-2</v>
      </c>
      <c r="T161" s="1">
        <f t="shared" si="158"/>
        <v>45.423376834608476</v>
      </c>
      <c r="U161" s="1">
        <f t="shared" si="159"/>
        <v>20.121640291284617</v>
      </c>
      <c r="V161" s="1">
        <f t="shared" si="182"/>
        <v>7.5184083962009929E-2</v>
      </c>
      <c r="W161" s="1">
        <f t="shared" si="160"/>
        <v>45.423376834608476</v>
      </c>
      <c r="X161" s="1">
        <f t="shared" si="161"/>
        <v>20.121640291284617</v>
      </c>
      <c r="Z161" s="14">
        <f t="shared" si="183"/>
        <v>1.8418071745351123</v>
      </c>
      <c r="AA161" s="14">
        <f t="shared" si="162"/>
        <v>5.8485038942167922</v>
      </c>
      <c r="AB161" s="14">
        <f t="shared" si="163"/>
        <v>7.6944783969200277</v>
      </c>
      <c r="AC161" s="14">
        <f t="shared" si="184"/>
        <v>-2.0598543856256373</v>
      </c>
      <c r="AD161" s="14">
        <f t="shared" si="185"/>
        <v>7.4136359305463486</v>
      </c>
      <c r="AE161" s="14">
        <f t="shared" si="186"/>
        <v>1.8386558856079005</v>
      </c>
      <c r="AF161" s="14">
        <f t="shared" si="164"/>
        <v>7.7229841191154254</v>
      </c>
      <c r="AG161" s="14">
        <f t="shared" si="187"/>
        <v>7.5184083962011705E-2</v>
      </c>
      <c r="AH161" s="14">
        <f t="shared" si="165"/>
        <v>0.56488578378585708</v>
      </c>
      <c r="AI161" s="14">
        <f t="shared" si="166"/>
        <v>1.0305149620557505</v>
      </c>
      <c r="AJ161" s="14">
        <f t="shared" si="167"/>
        <v>-0.23426718686493361</v>
      </c>
      <c r="AK161" s="14">
        <f t="shared" si="188"/>
        <v>0.87831412959229604</v>
      </c>
      <c r="AL161" s="14">
        <f t="shared" si="189"/>
        <v>0.71708661624931147</v>
      </c>
      <c r="AM161" s="14">
        <f t="shared" si="190"/>
        <v>0.32079090722412018</v>
      </c>
      <c r="AN161" s="1">
        <f t="shared" si="168"/>
        <v>-0.66045083952053552</v>
      </c>
      <c r="AO161" s="1">
        <f t="shared" si="169"/>
        <v>1.2318602049032401E-2</v>
      </c>
      <c r="AP161" s="1">
        <f t="shared" si="170"/>
        <v>45.394481185323023</v>
      </c>
      <c r="AQ161" s="1">
        <f t="shared" si="171"/>
        <v>20.145886619944378</v>
      </c>
      <c r="AR161" s="1">
        <f t="shared" si="191"/>
        <v>7.5184083962011705E-2</v>
      </c>
      <c r="AS161" s="1">
        <f t="shared" si="172"/>
        <v>45.394481185323023</v>
      </c>
      <c r="AT161" s="1">
        <f t="shared" si="173"/>
        <v>20.145886619944378</v>
      </c>
    </row>
    <row r="162" spans="1:46" x14ac:dyDescent="0.25">
      <c r="A162" s="14">
        <f t="shared" si="192"/>
        <v>4.8171087355043447</v>
      </c>
      <c r="B162" s="14">
        <f t="shared" si="148"/>
        <v>0.52264231633824287</v>
      </c>
      <c r="C162" s="14">
        <f t="shared" si="149"/>
        <v>-4.9726094768413693</v>
      </c>
      <c r="D162" s="14">
        <f t="shared" si="174"/>
        <v>1.3060880569090894</v>
      </c>
      <c r="E162" s="14">
        <f t="shared" si="150"/>
        <v>5.92368797817862</v>
      </c>
      <c r="F162" s="14">
        <f t="shared" si="151"/>
        <v>7.7517791030716241</v>
      </c>
      <c r="G162" s="14">
        <f t="shared" si="175"/>
        <v>2.0280802187511235</v>
      </c>
      <c r="H162" s="14">
        <f t="shared" si="176"/>
        <v>7.4817758513021699</v>
      </c>
      <c r="I162" s="14">
        <f t="shared" si="177"/>
        <v>1.3092393458363012</v>
      </c>
      <c r="J162" s="14">
        <f t="shared" si="152"/>
        <v>7.7808671715583451</v>
      </c>
      <c r="K162" s="14">
        <f t="shared" si="178"/>
        <v>7.6315330056655029E-2</v>
      </c>
      <c r="L162" s="14">
        <f t="shared" si="153"/>
        <v>0.57390897400578189</v>
      </c>
      <c r="M162" s="14">
        <f t="shared" si="154"/>
        <v>1.0252912023436533</v>
      </c>
      <c r="N162" s="14">
        <f t="shared" si="155"/>
        <v>0.22981335783281551</v>
      </c>
      <c r="O162" s="14">
        <f t="shared" si="179"/>
        <v>0.88029883679285004</v>
      </c>
      <c r="P162" s="14">
        <f t="shared" si="180"/>
        <v>0.71890133955658519</v>
      </c>
      <c r="Q162" s="14">
        <f t="shared" si="181"/>
        <v>-0.31183067588785546</v>
      </c>
      <c r="R162" s="1">
        <f t="shared" si="156"/>
        <v>0.66603635250351212</v>
      </c>
      <c r="S162" s="1">
        <f t="shared" si="157"/>
        <v>2.1206264692399224E-2</v>
      </c>
      <c r="T162" s="1">
        <f t="shared" si="158"/>
        <v>46.750472604836773</v>
      </c>
      <c r="U162" s="1">
        <f t="shared" si="159"/>
        <v>20.014437300437262</v>
      </c>
      <c r="V162" s="1">
        <f t="shared" si="182"/>
        <v>7.6315330056655029E-2</v>
      </c>
      <c r="W162" s="1">
        <f t="shared" si="160"/>
        <v>46.750472604836773</v>
      </c>
      <c r="X162" s="1">
        <f t="shared" si="161"/>
        <v>20.014437300437262</v>
      </c>
      <c r="Z162" s="14">
        <f t="shared" si="183"/>
        <v>1.8355045966806884</v>
      </c>
      <c r="AA162" s="14">
        <f t="shared" si="162"/>
        <v>5.9236879781788039</v>
      </c>
      <c r="AB162" s="14">
        <f t="shared" si="163"/>
        <v>7.7517791030717644</v>
      </c>
      <c r="AC162" s="14">
        <f t="shared" si="184"/>
        <v>-2.0280802187510449</v>
      </c>
      <c r="AD162" s="14">
        <f t="shared" si="185"/>
        <v>7.481775851302336</v>
      </c>
      <c r="AE162" s="14">
        <f t="shared" si="186"/>
        <v>1.8323533077534764</v>
      </c>
      <c r="AF162" s="14">
        <f t="shared" si="164"/>
        <v>7.7808671715584907</v>
      </c>
      <c r="AG162" s="14">
        <f t="shared" si="187"/>
        <v>7.6315330056657693E-2</v>
      </c>
      <c r="AH162" s="14">
        <f t="shared" si="165"/>
        <v>0.57390897400580432</v>
      </c>
      <c r="AI162" s="14">
        <f t="shared" si="166"/>
        <v>1.0252912023436405</v>
      </c>
      <c r="AJ162" s="14">
        <f t="shared" si="167"/>
        <v>-0.22981335783280424</v>
      </c>
      <c r="AK162" s="14">
        <f t="shared" si="188"/>
        <v>0.88029883679285503</v>
      </c>
      <c r="AL162" s="14">
        <f t="shared" si="189"/>
        <v>0.71890133955658986</v>
      </c>
      <c r="AM162" s="14">
        <f t="shared" si="190"/>
        <v>0.31233308934197274</v>
      </c>
      <c r="AN162" s="1">
        <f t="shared" si="168"/>
        <v>-0.66582402340286251</v>
      </c>
      <c r="AO162" s="1">
        <f t="shared" si="169"/>
        <v>2.0750923466622773E-2</v>
      </c>
      <c r="AP162" s="1">
        <f t="shared" si="170"/>
        <v>46.721101044798345</v>
      </c>
      <c r="AQ162" s="1">
        <f t="shared" si="171"/>
        <v>20.039082965635011</v>
      </c>
      <c r="AR162" s="1">
        <f t="shared" si="191"/>
        <v>7.6315330056657693E-2</v>
      </c>
      <c r="AS162" s="1">
        <f t="shared" si="172"/>
        <v>46.721101044798345</v>
      </c>
      <c r="AT162" s="1">
        <f t="shared" si="173"/>
        <v>20.039082965635011</v>
      </c>
    </row>
    <row r="163" spans="1:46" x14ac:dyDescent="0.25">
      <c r="A163" s="14">
        <f t="shared" si="192"/>
        <v>4.8520153205442309</v>
      </c>
      <c r="B163" s="14">
        <f t="shared" si="148"/>
        <v>0.69586550480030085</v>
      </c>
      <c r="C163" s="14">
        <f t="shared" si="149"/>
        <v>-4.9513403437078551</v>
      </c>
      <c r="D163" s="14">
        <f t="shared" si="174"/>
        <v>1.3123906347635133</v>
      </c>
      <c r="E163" s="14">
        <f t="shared" si="150"/>
        <v>6.0000033082352751</v>
      </c>
      <c r="F163" s="14">
        <f t="shared" si="151"/>
        <v>7.8102522173636775</v>
      </c>
      <c r="G163" s="14">
        <f t="shared" si="175"/>
        <v>1.9958279666184129</v>
      </c>
      <c r="H163" s="14">
        <f t="shared" si="176"/>
        <v>7.5509410292027868</v>
      </c>
      <c r="I163" s="14">
        <f t="shared" si="177"/>
        <v>1.3155419236907253</v>
      </c>
      <c r="J163" s="14">
        <f t="shared" si="152"/>
        <v>7.8399382048861703</v>
      </c>
      <c r="K163" s="14">
        <f t="shared" si="178"/>
        <v>7.7478503228777917E-2</v>
      </c>
      <c r="L163" s="14">
        <f t="shared" si="153"/>
        <v>0.58302971592321717</v>
      </c>
      <c r="M163" s="14">
        <f t="shared" si="154"/>
        <v>1.0201421127743311</v>
      </c>
      <c r="N163" s="14">
        <f t="shared" si="155"/>
        <v>0.22525879583318129</v>
      </c>
      <c r="O163" s="14">
        <f t="shared" si="179"/>
        <v>0.88220909231796396</v>
      </c>
      <c r="P163" s="14">
        <f t="shared" si="180"/>
        <v>0.7209627363795843</v>
      </c>
      <c r="Q163" s="14">
        <f t="shared" si="181"/>
        <v>-0.30332860093402769</v>
      </c>
      <c r="R163" s="1">
        <f t="shared" si="156"/>
        <v>0.67136076409932843</v>
      </c>
      <c r="S163" s="1">
        <f t="shared" si="157"/>
        <v>2.9782945371116309E-2</v>
      </c>
      <c r="T163" s="1">
        <f t="shared" si="158"/>
        <v>48.117738148430341</v>
      </c>
      <c r="U163" s="1">
        <f t="shared" si="159"/>
        <v>19.891583283236422</v>
      </c>
      <c r="V163" s="1">
        <f t="shared" si="182"/>
        <v>7.7478503228777917E-2</v>
      </c>
      <c r="W163" s="1">
        <f t="shared" si="160"/>
        <v>48.117738148430341</v>
      </c>
      <c r="X163" s="1">
        <f t="shared" si="161"/>
        <v>19.891583283236422</v>
      </c>
      <c r="Z163" s="14">
        <f t="shared" si="183"/>
        <v>1.8292020188262645</v>
      </c>
      <c r="AA163" s="14">
        <f t="shared" si="162"/>
        <v>6.0000033082354616</v>
      </c>
      <c r="AB163" s="14">
        <f t="shared" si="163"/>
        <v>7.8102522173638214</v>
      </c>
      <c r="AC163" s="14">
        <f t="shared" si="184"/>
        <v>-1.9958279666183329</v>
      </c>
      <c r="AD163" s="14">
        <f t="shared" si="185"/>
        <v>7.5509410292029573</v>
      </c>
      <c r="AE163" s="14">
        <f t="shared" si="186"/>
        <v>1.8260507298990527</v>
      </c>
      <c r="AF163" s="14">
        <f t="shared" si="164"/>
        <v>7.8399382048863133</v>
      </c>
      <c r="AG163" s="14">
        <f t="shared" si="187"/>
        <v>7.747850322878147E-2</v>
      </c>
      <c r="AH163" s="14">
        <f t="shared" si="165"/>
        <v>0.58302971592323916</v>
      </c>
      <c r="AI163" s="14">
        <f t="shared" si="166"/>
        <v>1.0201421127743184</v>
      </c>
      <c r="AJ163" s="14">
        <f t="shared" si="167"/>
        <v>-0.2252587958331701</v>
      </c>
      <c r="AK163" s="14">
        <f t="shared" si="188"/>
        <v>0.8822090923179684</v>
      </c>
      <c r="AL163" s="14">
        <f t="shared" si="189"/>
        <v>0.72096273637958941</v>
      </c>
      <c r="AM163" s="14">
        <f t="shared" si="190"/>
        <v>0.30383070696262471</v>
      </c>
      <c r="AN163" s="1">
        <f t="shared" si="168"/>
        <v>-0.67114856492231723</v>
      </c>
      <c r="AO163" s="1">
        <f t="shared" si="169"/>
        <v>2.9327882767482993E-2</v>
      </c>
      <c r="AP163" s="1">
        <f t="shared" si="170"/>
        <v>48.087937163042554</v>
      </c>
      <c r="AQ163" s="1">
        <f t="shared" si="171"/>
        <v>19.916589279087074</v>
      </c>
      <c r="AR163" s="1">
        <f t="shared" si="191"/>
        <v>7.747850322878147E-2</v>
      </c>
      <c r="AS163" s="1">
        <f t="shared" si="172"/>
        <v>48.087937163042554</v>
      </c>
      <c r="AT163" s="1">
        <f t="shared" si="173"/>
        <v>19.916589279087074</v>
      </c>
    </row>
    <row r="164" spans="1:46" x14ac:dyDescent="0.25">
      <c r="A164" s="14">
        <f t="shared" si="192"/>
        <v>4.8869219055841171</v>
      </c>
      <c r="B164" s="14">
        <f t="shared" si="148"/>
        <v>0.86824088833462365</v>
      </c>
      <c r="C164" s="14">
        <f t="shared" si="149"/>
        <v>-4.9240387650610451</v>
      </c>
      <c r="D164" s="14">
        <f t="shared" si="174"/>
        <v>1.3186932126179371</v>
      </c>
      <c r="E164" s="14">
        <f t="shared" si="150"/>
        <v>6.077481811464053</v>
      </c>
      <c r="F164" s="14">
        <f t="shared" si="151"/>
        <v>7.8699291717699982</v>
      </c>
      <c r="G164" s="14">
        <f t="shared" si="175"/>
        <v>1.9630841362615952</v>
      </c>
      <c r="H164" s="14">
        <f t="shared" si="176"/>
        <v>7.6211604000069748</v>
      </c>
      <c r="I164" s="14">
        <f t="shared" si="177"/>
        <v>1.321844501545149</v>
      </c>
      <c r="J164" s="14">
        <f t="shared" si="152"/>
        <v>7.9002292305854045</v>
      </c>
      <c r="K164" s="14">
        <f t="shared" si="178"/>
        <v>7.8674771903481933E-2</v>
      </c>
      <c r="L164" s="14">
        <f t="shared" si="153"/>
        <v>0.59224605189815427</v>
      </c>
      <c r="M164" s="14">
        <f t="shared" si="154"/>
        <v>1.0150650488470778</v>
      </c>
      <c r="N164" s="14">
        <f t="shared" si="155"/>
        <v>0.22060699482702034</v>
      </c>
      <c r="O164" s="14">
        <f t="shared" si="179"/>
        <v>0.88403836740259689</v>
      </c>
      <c r="P164" s="14">
        <f t="shared" si="180"/>
        <v>0.72327273334263531</v>
      </c>
      <c r="Q164" s="14">
        <f t="shared" si="181"/>
        <v>-0.29478810175812231</v>
      </c>
      <c r="R164" s="1">
        <f t="shared" si="156"/>
        <v>0.67662802126928234</v>
      </c>
      <c r="S164" s="1">
        <f t="shared" si="157"/>
        <v>3.8499513180570377E-2</v>
      </c>
      <c r="T164" s="1">
        <f t="shared" si="158"/>
        <v>49.526071177135584</v>
      </c>
      <c r="U164" s="1">
        <f t="shared" si="159"/>
        <v>19.752320293289952</v>
      </c>
      <c r="V164" s="1">
        <f t="shared" si="182"/>
        <v>7.8674771903481933E-2</v>
      </c>
      <c r="W164" s="1">
        <f t="shared" si="160"/>
        <v>49.526071177135584</v>
      </c>
      <c r="X164" s="1">
        <f t="shared" si="161"/>
        <v>19.752320293289952</v>
      </c>
      <c r="Z164" s="14">
        <f t="shared" si="183"/>
        <v>1.8228994409718406</v>
      </c>
      <c r="AA164" s="14">
        <f t="shared" si="162"/>
        <v>6.077481811464243</v>
      </c>
      <c r="AB164" s="14">
        <f t="shared" si="163"/>
        <v>7.8699291717701438</v>
      </c>
      <c r="AC164" s="14">
        <f t="shared" si="184"/>
        <v>-1.9630841362615137</v>
      </c>
      <c r="AD164" s="14">
        <f t="shared" si="185"/>
        <v>7.6211604000071462</v>
      </c>
      <c r="AE164" s="14">
        <f t="shared" si="186"/>
        <v>1.8197481520446286</v>
      </c>
      <c r="AF164" s="14">
        <f t="shared" si="164"/>
        <v>7.9002292305855537</v>
      </c>
      <c r="AG164" s="14">
        <f t="shared" si="187"/>
        <v>7.8674771903484597E-2</v>
      </c>
      <c r="AH164" s="14">
        <f t="shared" si="165"/>
        <v>0.59224605189817692</v>
      </c>
      <c r="AI164" s="14">
        <f t="shared" si="166"/>
        <v>1.0150650488470654</v>
      </c>
      <c r="AJ164" s="14">
        <f t="shared" si="167"/>
        <v>-0.22060699482700868</v>
      </c>
      <c r="AK164" s="14">
        <f t="shared" si="188"/>
        <v>0.88403836740260122</v>
      </c>
      <c r="AL164" s="14">
        <f t="shared" si="189"/>
        <v>0.72327273334264086</v>
      </c>
      <c r="AM164" s="14">
        <f t="shared" si="190"/>
        <v>0.2952888625275904</v>
      </c>
      <c r="AN164" s="1">
        <f t="shared" si="168"/>
        <v>-0.6764163906233458</v>
      </c>
      <c r="AO164" s="1">
        <f t="shared" si="169"/>
        <v>3.804566979576135E-2</v>
      </c>
      <c r="AP164" s="1">
        <f t="shared" si="170"/>
        <v>49.495891140885291</v>
      </c>
      <c r="AQ164" s="1">
        <f t="shared" si="171"/>
        <v>19.777644350578839</v>
      </c>
      <c r="AR164" s="1">
        <f t="shared" si="191"/>
        <v>7.8674771903484597E-2</v>
      </c>
      <c r="AS164" s="1">
        <f t="shared" si="172"/>
        <v>49.495891140885291</v>
      </c>
      <c r="AT164" s="1">
        <f t="shared" si="173"/>
        <v>19.777644350578839</v>
      </c>
    </row>
    <row r="165" spans="1:46" x14ac:dyDescent="0.25">
      <c r="A165" s="14">
        <f t="shared" si="192"/>
        <v>4.9218284906240033</v>
      </c>
      <c r="B165" s="14">
        <f t="shared" si="148"/>
        <v>1.0395584540887668</v>
      </c>
      <c r="C165" s="14">
        <f t="shared" si="149"/>
        <v>-4.8907380036690347</v>
      </c>
      <c r="D165" s="14">
        <f t="shared" si="174"/>
        <v>1.324995790472361</v>
      </c>
      <c r="E165" s="14">
        <f t="shared" si="150"/>
        <v>6.1561565833675349</v>
      </c>
      <c r="F165" s="14">
        <f t="shared" si="151"/>
        <v>7.9308425705557566</v>
      </c>
      <c r="G165" s="14">
        <f t="shared" si="175"/>
        <v>1.9298347409168999</v>
      </c>
      <c r="H165" s="14">
        <f t="shared" si="176"/>
        <v>7.6924639584264316</v>
      </c>
      <c r="I165" s="14">
        <f t="shared" si="177"/>
        <v>1.3281470793995731</v>
      </c>
      <c r="J165" s="14">
        <f t="shared" si="152"/>
        <v>7.9617734593327238</v>
      </c>
      <c r="K165" s="14">
        <f t="shared" si="178"/>
        <v>7.990535910863894E-2</v>
      </c>
      <c r="L165" s="14">
        <f t="shared" si="153"/>
        <v>0.60155588252355341</v>
      </c>
      <c r="M165" s="14">
        <f t="shared" si="154"/>
        <v>1.0100574475546562</v>
      </c>
      <c r="N165" s="14">
        <f t="shared" si="155"/>
        <v>0.21586150544284957</v>
      </c>
      <c r="O165" s="14">
        <f t="shared" si="179"/>
        <v>0.88578034735079392</v>
      </c>
      <c r="P165" s="14">
        <f t="shared" si="180"/>
        <v>0.7258329827274157</v>
      </c>
      <c r="Q165" s="14">
        <f t="shared" si="181"/>
        <v>-0.2862145730527666</v>
      </c>
      <c r="R165" s="1">
        <f t="shared" si="156"/>
        <v>0.68183012105963647</v>
      </c>
      <c r="S165" s="1">
        <f t="shared" si="157"/>
        <v>4.7351777153235075E-2</v>
      </c>
      <c r="T165" s="1">
        <f t="shared" si="158"/>
        <v>50.976396840075253</v>
      </c>
      <c r="U165" s="1">
        <f t="shared" si="159"/>
        <v>19.595876498606103</v>
      </c>
      <c r="V165" s="1">
        <f t="shared" si="182"/>
        <v>7.990535910863894E-2</v>
      </c>
      <c r="W165" s="1">
        <f t="shared" si="160"/>
        <v>50.976396840075253</v>
      </c>
      <c r="X165" s="1">
        <f t="shared" si="161"/>
        <v>19.595876498606103</v>
      </c>
      <c r="Z165" s="14">
        <f t="shared" si="183"/>
        <v>1.8165968631174167</v>
      </c>
      <c r="AA165" s="14">
        <f t="shared" si="162"/>
        <v>6.1561565833677276</v>
      </c>
      <c r="AB165" s="14">
        <f t="shared" si="163"/>
        <v>7.9308425705559058</v>
      </c>
      <c r="AC165" s="14">
        <f t="shared" si="184"/>
        <v>-1.9298347409168175</v>
      </c>
      <c r="AD165" s="14">
        <f t="shared" si="185"/>
        <v>7.6924639584266057</v>
      </c>
      <c r="AE165" s="14">
        <f t="shared" si="186"/>
        <v>1.8134455741902049</v>
      </c>
      <c r="AF165" s="14">
        <f t="shared" si="164"/>
        <v>7.9617734593328722</v>
      </c>
      <c r="AG165" s="14">
        <f t="shared" si="187"/>
        <v>7.9905359108641605E-2</v>
      </c>
      <c r="AH165" s="14">
        <f t="shared" si="165"/>
        <v>0.60155588252357595</v>
      </c>
      <c r="AI165" s="14">
        <f t="shared" si="166"/>
        <v>1.0100574475546442</v>
      </c>
      <c r="AJ165" s="14">
        <f t="shared" si="167"/>
        <v>-0.21586150544283803</v>
      </c>
      <c r="AK165" s="14">
        <f t="shared" si="188"/>
        <v>0.88578034735079803</v>
      </c>
      <c r="AL165" s="14">
        <f t="shared" si="189"/>
        <v>0.72583298272742214</v>
      </c>
      <c r="AM165" s="14">
        <f t="shared" si="190"/>
        <v>0.2867129255162717</v>
      </c>
      <c r="AN165" s="1">
        <f t="shared" si="168"/>
        <v>-0.68161950820777939</v>
      </c>
      <c r="AO165" s="1">
        <f t="shared" si="169"/>
        <v>4.6900116434874295E-2</v>
      </c>
      <c r="AP165" s="1">
        <f t="shared" si="170"/>
        <v>50.945892159366196</v>
      </c>
      <c r="AQ165" s="1">
        <f t="shared" si="171"/>
        <v>19.621472964940562</v>
      </c>
      <c r="AR165" s="1">
        <f t="shared" si="191"/>
        <v>7.9905359108641605E-2</v>
      </c>
      <c r="AS165" s="1">
        <f t="shared" si="172"/>
        <v>50.945892159366196</v>
      </c>
      <c r="AT165" s="1">
        <f t="shared" si="173"/>
        <v>19.621472964940562</v>
      </c>
    </row>
    <row r="166" spans="1:46" x14ac:dyDescent="0.25">
      <c r="A166" s="14">
        <f t="shared" si="192"/>
        <v>4.9567350756638895</v>
      </c>
      <c r="B166" s="14">
        <f t="shared" si="148"/>
        <v>1.2096094779983071</v>
      </c>
      <c r="C166" s="14">
        <f t="shared" si="149"/>
        <v>-4.8514786313799902</v>
      </c>
      <c r="D166" s="14">
        <f t="shared" si="174"/>
        <v>1.3312983683267849</v>
      </c>
      <c r="E166" s="14">
        <f t="shared" si="150"/>
        <v>6.2360619424761738</v>
      </c>
      <c r="F166" s="14">
        <f t="shared" si="151"/>
        <v>7.9930262448211513</v>
      </c>
      <c r="G166" s="14">
        <f t="shared" si="175"/>
        <v>1.8960652769466402</v>
      </c>
      <c r="H166" s="14">
        <f t="shared" si="176"/>
        <v>7.7648828076125511</v>
      </c>
      <c r="I166" s="14">
        <f t="shared" si="177"/>
        <v>1.3344496572539968</v>
      </c>
      <c r="J166" s="14">
        <f t="shared" si="152"/>
        <v>8.0246053570552771</v>
      </c>
      <c r="K166" s="14">
        <f t="shared" si="178"/>
        <v>8.1171545556844471E-2</v>
      </c>
      <c r="L166" s="14">
        <f t="shared" si="153"/>
        <v>0.61095696707164437</v>
      </c>
      <c r="M166" s="14">
        <f t="shared" si="154"/>
        <v>1.0051168302228979</v>
      </c>
      <c r="N166" s="14">
        <f t="shared" si="155"/>
        <v>0.21102593013757415</v>
      </c>
      <c r="O166" s="14">
        <f t="shared" si="179"/>
        <v>0.88742894739794931</v>
      </c>
      <c r="P166" s="14">
        <f t="shared" si="180"/>
        <v>0.72864484989659295</v>
      </c>
      <c r="Q166" s="14">
        <f t="shared" si="181"/>
        <v>-0.27761366179540226</v>
      </c>
      <c r="R166" s="1">
        <f t="shared" si="156"/>
        <v>0.68695916228505582</v>
      </c>
      <c r="S166" s="1">
        <f t="shared" si="157"/>
        <v>5.6335196416679001E-2</v>
      </c>
      <c r="T166" s="1">
        <f t="shared" si="158"/>
        <v>52.469670253904638</v>
      </c>
      <c r="U166" s="1">
        <f t="shared" si="159"/>
        <v>19.421466003260573</v>
      </c>
      <c r="V166" s="1">
        <f t="shared" si="182"/>
        <v>8.1171545556844471E-2</v>
      </c>
      <c r="W166" s="1">
        <f t="shared" si="160"/>
        <v>52.469670253904638</v>
      </c>
      <c r="X166" s="1">
        <f t="shared" si="161"/>
        <v>19.421466003260573</v>
      </c>
      <c r="Z166" s="14">
        <f t="shared" si="183"/>
        <v>1.8102942852629929</v>
      </c>
      <c r="AA166" s="14">
        <f t="shared" si="162"/>
        <v>6.2360619424763692</v>
      </c>
      <c r="AB166" s="14">
        <f t="shared" si="163"/>
        <v>7.993026244821305</v>
      </c>
      <c r="AC166" s="14">
        <f t="shared" si="184"/>
        <v>-1.8960652769465567</v>
      </c>
      <c r="AD166" s="14">
        <f t="shared" si="185"/>
        <v>7.7648828076127296</v>
      </c>
      <c r="AE166" s="14">
        <f t="shared" si="186"/>
        <v>1.8071429963357808</v>
      </c>
      <c r="AF166" s="14">
        <f t="shared" si="164"/>
        <v>8.0246053570554334</v>
      </c>
      <c r="AG166" s="14">
        <f t="shared" si="187"/>
        <v>8.1171545556848024E-2</v>
      </c>
      <c r="AH166" s="14">
        <f t="shared" si="165"/>
        <v>0.61095696707166769</v>
      </c>
      <c r="AI166" s="14">
        <f t="shared" si="166"/>
        <v>1.0051168302228857</v>
      </c>
      <c r="AJ166" s="14">
        <f t="shared" si="167"/>
        <v>-0.21102593013756205</v>
      </c>
      <c r="AK166" s="14">
        <f t="shared" si="188"/>
        <v>0.88742894739795308</v>
      </c>
      <c r="AL166" s="14">
        <f t="shared" si="189"/>
        <v>0.72864484989660006</v>
      </c>
      <c r="AM166" s="14">
        <f t="shared" si="190"/>
        <v>0.27810851931660474</v>
      </c>
      <c r="AN166" s="1">
        <f t="shared" si="168"/>
        <v>-0.68675002645963923</v>
      </c>
      <c r="AO166" s="1">
        <f t="shared" si="169"/>
        <v>5.5886703191742548E-2</v>
      </c>
      <c r="AP166" s="1">
        <f t="shared" si="170"/>
        <v>52.438899512733485</v>
      </c>
      <c r="AQ166" s="1">
        <f t="shared" si="171"/>
        <v>19.447285720831307</v>
      </c>
      <c r="AR166" s="1">
        <f t="shared" si="191"/>
        <v>8.1171545556848024E-2</v>
      </c>
      <c r="AS166" s="1">
        <f t="shared" si="172"/>
        <v>52.438899512733485</v>
      </c>
      <c r="AT166" s="1">
        <f t="shared" si="173"/>
        <v>19.447285720831307</v>
      </c>
    </row>
    <row r="167" spans="1:46" x14ac:dyDescent="0.25">
      <c r="A167" s="14">
        <f t="shared" si="192"/>
        <v>4.9916416607037757</v>
      </c>
      <c r="B167" s="14">
        <f t="shared" si="148"/>
        <v>1.3781867790849627</v>
      </c>
      <c r="C167" s="14">
        <f t="shared" si="149"/>
        <v>-4.8063084796916042</v>
      </c>
      <c r="D167" s="14">
        <f t="shared" si="174"/>
        <v>1.3376009461812088</v>
      </c>
      <c r="E167" s="14">
        <f t="shared" si="150"/>
        <v>6.3172334880330183</v>
      </c>
      <c r="F167" s="14">
        <f t="shared" si="151"/>
        <v>8.056515310127935</v>
      </c>
      <c r="G167" s="14">
        <f t="shared" si="175"/>
        <v>1.8617606994606006</v>
      </c>
      <c r="H167" s="14">
        <f t="shared" si="176"/>
        <v>7.8384492114365196</v>
      </c>
      <c r="I167" s="14">
        <f t="shared" si="177"/>
        <v>1.3407522351084209</v>
      </c>
      <c r="J167" s="14">
        <f t="shared" si="152"/>
        <v>8.0887607041745486</v>
      </c>
      <c r="K167" s="14">
        <f t="shared" si="178"/>
        <v>8.2474672932362658E-2</v>
      </c>
      <c r="L167" s="14">
        <f t="shared" si="153"/>
        <v>0.62044692413736158</v>
      </c>
      <c r="M167" s="14">
        <f t="shared" si="154"/>
        <v>1.0002408051820026</v>
      </c>
      <c r="N167" s="14">
        <f t="shared" si="155"/>
        <v>0.20610391831640401</v>
      </c>
      <c r="O167" s="14">
        <f t="shared" si="179"/>
        <v>0.88897832786218134</v>
      </c>
      <c r="P167" s="14">
        <f t="shared" si="180"/>
        <v>0.73170940145718277</v>
      </c>
      <c r="Q167" s="14">
        <f t="shared" si="181"/>
        <v>-0.26899125331870455</v>
      </c>
      <c r="R167" s="1">
        <f t="shared" si="156"/>
        <v>0.69200736514731187</v>
      </c>
      <c r="S167" s="1">
        <f t="shared" si="157"/>
        <v>6.5444887815672176E-2</v>
      </c>
      <c r="T167" s="1">
        <f t="shared" si="158"/>
        <v>54.006879226607168</v>
      </c>
      <c r="U167" s="1">
        <f t="shared" si="159"/>
        <v>19.228288614926321</v>
      </c>
      <c r="V167" s="1">
        <f t="shared" si="182"/>
        <v>8.2474672932362658E-2</v>
      </c>
      <c r="W167" s="1">
        <f t="shared" si="160"/>
        <v>54.006879226607168</v>
      </c>
      <c r="X167" s="1">
        <f t="shared" si="161"/>
        <v>19.228288614926321</v>
      </c>
      <c r="Z167" s="14">
        <f t="shared" si="183"/>
        <v>1.803991707408569</v>
      </c>
      <c r="AA167" s="14">
        <f t="shared" si="162"/>
        <v>6.3172334880332173</v>
      </c>
      <c r="AB167" s="14">
        <f t="shared" si="163"/>
        <v>8.0565153101280913</v>
      </c>
      <c r="AC167" s="14">
        <f t="shared" si="184"/>
        <v>-1.8617606994605156</v>
      </c>
      <c r="AD167" s="14">
        <f t="shared" si="185"/>
        <v>7.8384492114366999</v>
      </c>
      <c r="AE167" s="14">
        <f t="shared" si="186"/>
        <v>1.8008404184813571</v>
      </c>
      <c r="AF167" s="14">
        <f t="shared" si="164"/>
        <v>8.0887607041747049</v>
      </c>
      <c r="AG167" s="14">
        <f t="shared" si="187"/>
        <v>8.2474672932365323E-2</v>
      </c>
      <c r="AH167" s="14">
        <f t="shared" si="165"/>
        <v>0.62044692413738445</v>
      </c>
      <c r="AI167" s="14">
        <f t="shared" si="166"/>
        <v>1.0002408051819911</v>
      </c>
      <c r="AJ167" s="14">
        <f t="shared" si="167"/>
        <v>-0.20610391831639205</v>
      </c>
      <c r="AK167" s="14">
        <f t="shared" si="188"/>
        <v>0.88897832786218511</v>
      </c>
      <c r="AL167" s="14">
        <f t="shared" si="189"/>
        <v>0.73170940145719043</v>
      </c>
      <c r="AM167" s="14">
        <f t="shared" si="190"/>
        <v>0.26948150738080956</v>
      </c>
      <c r="AN167" s="1">
        <f t="shared" si="168"/>
        <v>-0.69180017482777723</v>
      </c>
      <c r="AO167" s="1">
        <f t="shared" si="169"/>
        <v>6.5000566741563348E-2</v>
      </c>
      <c r="AP167" s="1">
        <f t="shared" si="170"/>
        <v>53.975905335352287</v>
      </c>
      <c r="AQ167" s="1">
        <f t="shared" si="171"/>
        <v>19.254278795656692</v>
      </c>
      <c r="AR167" s="1">
        <f t="shared" si="191"/>
        <v>8.2474672932365323E-2</v>
      </c>
      <c r="AS167" s="1">
        <f t="shared" si="172"/>
        <v>53.975905335352287</v>
      </c>
      <c r="AT167" s="1">
        <f t="shared" si="173"/>
        <v>19.254278795656692</v>
      </c>
    </row>
    <row r="168" spans="1:46" x14ac:dyDescent="0.25">
      <c r="A168" s="14">
        <f t="shared" si="192"/>
        <v>5.0265482457436619</v>
      </c>
      <c r="B168" s="14">
        <f t="shared" si="148"/>
        <v>1.5450849718747022</v>
      </c>
      <c r="C168" s="14">
        <f t="shared" si="149"/>
        <v>-4.7552825814757789</v>
      </c>
      <c r="D168" s="14">
        <f t="shared" si="174"/>
        <v>1.3439035240356327</v>
      </c>
      <c r="E168" s="14">
        <f t="shared" si="150"/>
        <v>6.399708160965381</v>
      </c>
      <c r="F168" s="14">
        <f t="shared" si="151"/>
        <v>8.1213462274137118</v>
      </c>
      <c r="G168" s="14">
        <f t="shared" si="175"/>
        <v>1.8269053965482931</v>
      </c>
      <c r="H168" s="14">
        <f t="shared" si="176"/>
        <v>7.9131966497484223</v>
      </c>
      <c r="I168" s="14">
        <f t="shared" si="177"/>
        <v>1.3470548129628446</v>
      </c>
      <c r="J168" s="14">
        <f t="shared" si="152"/>
        <v>8.1542766582462534</v>
      </c>
      <c r="K168" s="14">
        <f t="shared" si="178"/>
        <v>8.3816147398897201E-2</v>
      </c>
      <c r="L168" s="14">
        <f t="shared" si="153"/>
        <v>0.63002323247887271</v>
      </c>
      <c r="M168" s="14">
        <f t="shared" si="154"/>
        <v>0.99542707026739863</v>
      </c>
      <c r="N168" s="14">
        <f t="shared" si="155"/>
        <v>0.20109916141893019</v>
      </c>
      <c r="O168" s="14">
        <f t="shared" si="179"/>
        <v>0.8904229085493639</v>
      </c>
      <c r="P168" s="14">
        <f t="shared" si="180"/>
        <v>0.73502739419690766</v>
      </c>
      <c r="Q168" s="14">
        <f t="shared" si="181"/>
        <v>-0.26035345670996318</v>
      </c>
      <c r="R168" s="1">
        <f t="shared" si="156"/>
        <v>0.69696709046116423</v>
      </c>
      <c r="S168" s="1">
        <f t="shared" si="157"/>
        <v>7.467563446914402E-2</v>
      </c>
      <c r="T168" s="1">
        <f t="shared" si="158"/>
        <v>55.589047188010461</v>
      </c>
      <c r="U168" s="1">
        <f t="shared" si="159"/>
        <v>19.015529553151499</v>
      </c>
      <c r="V168" s="1">
        <f t="shared" si="182"/>
        <v>8.3816147398897201E-2</v>
      </c>
      <c r="W168" s="1">
        <f t="shared" si="160"/>
        <v>55.589047188010461</v>
      </c>
      <c r="X168" s="1">
        <f t="shared" si="161"/>
        <v>19.015529553151499</v>
      </c>
      <c r="Z168" s="14">
        <f t="shared" si="183"/>
        <v>1.7976891295541451</v>
      </c>
      <c r="AA168" s="14">
        <f t="shared" si="162"/>
        <v>6.3997081609655826</v>
      </c>
      <c r="AB168" s="14">
        <f t="shared" si="163"/>
        <v>8.1213462274138699</v>
      </c>
      <c r="AC168" s="14">
        <f t="shared" si="184"/>
        <v>-1.8269053965482065</v>
      </c>
      <c r="AD168" s="14">
        <f t="shared" si="185"/>
        <v>7.9131966497486044</v>
      </c>
      <c r="AE168" s="14">
        <f t="shared" si="186"/>
        <v>1.794537840626933</v>
      </c>
      <c r="AF168" s="14">
        <f t="shared" si="164"/>
        <v>8.154276658246415</v>
      </c>
      <c r="AG168" s="14">
        <f t="shared" si="187"/>
        <v>8.3816147398901641E-2</v>
      </c>
      <c r="AH168" s="14">
        <f t="shared" si="165"/>
        <v>0.63002323247889624</v>
      </c>
      <c r="AI168" s="14">
        <f t="shared" si="166"/>
        <v>0.99542707026738686</v>
      </c>
      <c r="AJ168" s="14">
        <f t="shared" si="167"/>
        <v>-0.20109916141891768</v>
      </c>
      <c r="AK168" s="14">
        <f t="shared" si="188"/>
        <v>0.89042290854936723</v>
      </c>
      <c r="AL168" s="14">
        <f t="shared" si="189"/>
        <v>0.73502739419691587</v>
      </c>
      <c r="AM168" s="14">
        <f t="shared" si="190"/>
        <v>0.2608379787053115</v>
      </c>
      <c r="AN168" s="1">
        <f t="shared" si="168"/>
        <v>-0.69676232261771798</v>
      </c>
      <c r="AO168" s="1">
        <f t="shared" si="169"/>
        <v>7.4236508411772817E-2</v>
      </c>
      <c r="AP168" s="1">
        <f t="shared" si="170"/>
        <v>55.557937535637841</v>
      </c>
      <c r="AQ168" s="1">
        <f t="shared" si="171"/>
        <v>19.041633650987045</v>
      </c>
      <c r="AR168" s="1">
        <f t="shared" si="191"/>
        <v>8.3816147398901641E-2</v>
      </c>
      <c r="AS168" s="1">
        <f t="shared" si="172"/>
        <v>55.557937535637841</v>
      </c>
      <c r="AT168" s="1">
        <f t="shared" si="173"/>
        <v>19.041633650987045</v>
      </c>
    </row>
    <row r="169" spans="1:46" x14ac:dyDescent="0.25">
      <c r="A169" s="14">
        <f t="shared" si="192"/>
        <v>5.0614548307835481</v>
      </c>
      <c r="B169" s="14">
        <f t="shared" si="148"/>
        <v>1.7101007166283075</v>
      </c>
      <c r="C169" s="14">
        <f t="shared" si="149"/>
        <v>-4.698463103929555</v>
      </c>
      <c r="D169" s="14">
        <f t="shared" si="174"/>
        <v>1.3502061018900566</v>
      </c>
      <c r="E169" s="14">
        <f t="shared" si="150"/>
        <v>6.4835243083642782</v>
      </c>
      <c r="F169" s="14">
        <f t="shared" si="151"/>
        <v>8.1875568674147541</v>
      </c>
      <c r="G169" s="14">
        <f t="shared" si="175"/>
        <v>1.7914831620287688</v>
      </c>
      <c r="H169" s="14">
        <f t="shared" si="176"/>
        <v>7.989159876815453</v>
      </c>
      <c r="I169" s="14">
        <f t="shared" si="177"/>
        <v>1.3533573908172687</v>
      </c>
      <c r="J169" s="14">
        <f t="shared" si="152"/>
        <v>8.221191820225533</v>
      </c>
      <c r="K169" s="14">
        <f t="shared" si="178"/>
        <v>8.5197443345228052E-2</v>
      </c>
      <c r="L169" s="14">
        <f t="shared" si="153"/>
        <v>0.63968323205493471</v>
      </c>
      <c r="M169" s="14">
        <f t="shared" si="154"/>
        <v>0.99067341514826701</v>
      </c>
      <c r="N169" s="14">
        <f t="shared" si="155"/>
        <v>0.19601538797846454</v>
      </c>
      <c r="O169" s="14">
        <f t="shared" si="179"/>
        <v>0.89175738237846458</v>
      </c>
      <c r="P169" s="14">
        <f t="shared" si="180"/>
        <v>0.73859926482473726</v>
      </c>
      <c r="Q169" s="14">
        <f t="shared" si="181"/>
        <v>-0.25170658958034925</v>
      </c>
      <c r="R169" s="1">
        <f t="shared" si="156"/>
        <v>0.70183085843989501</v>
      </c>
      <c r="S169" s="1">
        <f t="shared" si="157"/>
        <v>8.4021895238080402E-2</v>
      </c>
      <c r="T169" s="1">
        <f t="shared" si="158"/>
        <v>57.217236341096729</v>
      </c>
      <c r="U169" s="1">
        <f t="shared" si="159"/>
        <v>18.782359092858222</v>
      </c>
      <c r="V169" s="1">
        <f t="shared" si="182"/>
        <v>8.5197443345228052E-2</v>
      </c>
      <c r="W169" s="1">
        <f t="shared" si="160"/>
        <v>57.217236341096729</v>
      </c>
      <c r="X169" s="1">
        <f t="shared" si="161"/>
        <v>18.782359092858222</v>
      </c>
      <c r="Z169" s="14">
        <f t="shared" si="183"/>
        <v>1.7913865516997212</v>
      </c>
      <c r="AA169" s="14">
        <f t="shared" si="162"/>
        <v>6.4835243083644842</v>
      </c>
      <c r="AB169" s="14">
        <f t="shared" si="163"/>
        <v>8.1875568674149157</v>
      </c>
      <c r="AC169" s="14">
        <f t="shared" si="184"/>
        <v>-1.7914831620286806</v>
      </c>
      <c r="AD169" s="14">
        <f t="shared" si="185"/>
        <v>7.9891598768156378</v>
      </c>
      <c r="AE169" s="14">
        <f t="shared" si="186"/>
        <v>1.7882352627725093</v>
      </c>
      <c r="AF169" s="14">
        <f t="shared" si="164"/>
        <v>8.2211918202256946</v>
      </c>
      <c r="AG169" s="14">
        <f t="shared" si="187"/>
        <v>8.5197443345229829E-2</v>
      </c>
      <c r="AH169" s="14">
        <f t="shared" si="165"/>
        <v>0.63968323205495781</v>
      </c>
      <c r="AI169" s="14">
        <f t="shared" si="166"/>
        <v>0.9906734151482558</v>
      </c>
      <c r="AJ169" s="14">
        <f t="shared" si="167"/>
        <v>-0.19601538797845222</v>
      </c>
      <c r="AK169" s="14">
        <f t="shared" si="188"/>
        <v>0.8917573823784678</v>
      </c>
      <c r="AL169" s="14">
        <f t="shared" si="189"/>
        <v>0.73859926482474592</v>
      </c>
      <c r="AM169" s="14">
        <f t="shared" si="190"/>
        <v>0.25218423267558659</v>
      </c>
      <c r="AN169" s="1">
        <f t="shared" si="168"/>
        <v>-0.70162899774525622</v>
      </c>
      <c r="AO169" s="1">
        <f t="shared" si="169"/>
        <v>8.3589003581446164E-2</v>
      </c>
      <c r="AP169" s="1">
        <f t="shared" si="170"/>
        <v>57.18606295109327</v>
      </c>
      <c r="AQ169" s="1">
        <f t="shared" si="171"/>
        <v>18.808516672914177</v>
      </c>
      <c r="AR169" s="1">
        <f t="shared" si="191"/>
        <v>8.5197443345229829E-2</v>
      </c>
      <c r="AS169" s="1">
        <f t="shared" si="172"/>
        <v>57.18606295109327</v>
      </c>
      <c r="AT169" s="1">
        <f t="shared" si="173"/>
        <v>18.808516672914177</v>
      </c>
    </row>
    <row r="170" spans="1:46" x14ac:dyDescent="0.25">
      <c r="A170" s="14">
        <f t="shared" si="192"/>
        <v>5.0963614158234343</v>
      </c>
      <c r="B170" s="14">
        <f t="shared" si="148"/>
        <v>1.8730329670795225</v>
      </c>
      <c r="C170" s="14">
        <f t="shared" si="149"/>
        <v>-4.6359192728339522</v>
      </c>
      <c r="D170" s="14">
        <f t="shared" si="174"/>
        <v>1.3565086797444805</v>
      </c>
      <c r="E170" s="14">
        <f t="shared" si="150"/>
        <v>6.5687217517095062</v>
      </c>
      <c r="F170" s="14">
        <f t="shared" si="151"/>
        <v>8.2551865788352465</v>
      </c>
      <c r="G170" s="14">
        <f t="shared" si="175"/>
        <v>1.7554771666174569</v>
      </c>
      <c r="H170" s="14">
        <f t="shared" si="176"/>
        <v>8.0663749831548461</v>
      </c>
      <c r="I170" s="14">
        <f t="shared" si="177"/>
        <v>1.3596599686716924</v>
      </c>
      <c r="J170" s="14">
        <f t="shared" si="152"/>
        <v>8.2895463046043183</v>
      </c>
      <c r="K170" s="14">
        <f t="shared" si="178"/>
        <v>8.6620107387363809E-2</v>
      </c>
      <c r="L170" s="14">
        <f t="shared" si="153"/>
        <v>0.64942412525850035</v>
      </c>
      <c r="M170" s="14">
        <f t="shared" si="154"/>
        <v>0.98597772348211277</v>
      </c>
      <c r="N170" s="14">
        <f t="shared" si="155"/>
        <v>0.19085635866178824</v>
      </c>
      <c r="O170" s="14">
        <f t="shared" si="179"/>
        <v>0.89297672819600526</v>
      </c>
      <c r="P170" s="14">
        <f t="shared" si="180"/>
        <v>0.74242512054460819</v>
      </c>
      <c r="Q170" s="14">
        <f t="shared" si="181"/>
        <v>-0.24305716224655319</v>
      </c>
      <c r="R170" s="1">
        <f t="shared" si="156"/>
        <v>0.70659136699428404</v>
      </c>
      <c r="S170" s="1">
        <f t="shared" si="157"/>
        <v>9.3477815078109955E-2</v>
      </c>
      <c r="T170" s="1">
        <f t="shared" si="158"/>
        <v>58.8925510494538</v>
      </c>
      <c r="U170" s="1">
        <f t="shared" si="159"/>
        <v>18.527932137158725</v>
      </c>
      <c r="V170" s="1">
        <f t="shared" si="182"/>
        <v>8.6620107387363809E-2</v>
      </c>
      <c r="W170" s="1">
        <f t="shared" si="160"/>
        <v>58.8925510494538</v>
      </c>
      <c r="X170" s="1">
        <f t="shared" si="161"/>
        <v>18.527932137158725</v>
      </c>
      <c r="Z170" s="14">
        <f t="shared" si="183"/>
        <v>1.7850839738452973</v>
      </c>
      <c r="AA170" s="14">
        <f t="shared" si="162"/>
        <v>6.5687217517097141</v>
      </c>
      <c r="AB170" s="14">
        <f t="shared" si="163"/>
        <v>8.2551865788354135</v>
      </c>
      <c r="AC170" s="14">
        <f t="shared" si="184"/>
        <v>-1.7554771666173681</v>
      </c>
      <c r="AD170" s="14">
        <f t="shared" si="185"/>
        <v>8.0663749831550344</v>
      </c>
      <c r="AE170" s="14">
        <f t="shared" si="186"/>
        <v>1.7819326849180852</v>
      </c>
      <c r="AF170" s="14">
        <f t="shared" si="164"/>
        <v>8.289546304604487</v>
      </c>
      <c r="AG170" s="14">
        <f t="shared" si="187"/>
        <v>8.6620107387367362E-2</v>
      </c>
      <c r="AH170" s="14">
        <f t="shared" si="165"/>
        <v>0.64942412525852444</v>
      </c>
      <c r="AI170" s="14">
        <f t="shared" si="166"/>
        <v>0.98597772348210144</v>
      </c>
      <c r="AJ170" s="14">
        <f t="shared" si="167"/>
        <v>-0.19085635866177536</v>
      </c>
      <c r="AK170" s="14">
        <f t="shared" si="188"/>
        <v>0.89297672819600815</v>
      </c>
      <c r="AL170" s="14">
        <f t="shared" si="189"/>
        <v>0.74242512054461762</v>
      </c>
      <c r="AM170" s="14">
        <f t="shared" si="190"/>
        <v>0.24352676331819156</v>
      </c>
      <c r="AN170" s="1">
        <f t="shared" si="168"/>
        <v>-0.70639290500567942</v>
      </c>
      <c r="AO170" s="1">
        <f t="shared" si="169"/>
        <v>9.305221197008734E-2</v>
      </c>
      <c r="AP170" s="1">
        <f t="shared" si="170"/>
        <v>58.861390739883504</v>
      </c>
      <c r="AQ170" s="1">
        <f t="shared" si="171"/>
        <v>18.554078741429411</v>
      </c>
      <c r="AR170" s="1">
        <f t="shared" si="191"/>
        <v>8.6620107387367362E-2</v>
      </c>
      <c r="AS170" s="1">
        <f t="shared" si="172"/>
        <v>58.861390739883504</v>
      </c>
      <c r="AT170" s="1">
        <f t="shared" si="173"/>
        <v>18.554078741429411</v>
      </c>
    </row>
    <row r="171" spans="1:46" x14ac:dyDescent="0.25">
      <c r="A171" s="14">
        <f t="shared" si="192"/>
        <v>5.1312680008633205</v>
      </c>
      <c r="B171" s="14">
        <f t="shared" si="148"/>
        <v>2.0336832153789621</v>
      </c>
      <c r="C171" s="14">
        <f t="shared" si="149"/>
        <v>-4.5677272882130211</v>
      </c>
      <c r="D171" s="14">
        <f t="shared" si="174"/>
        <v>1.3628112575989044</v>
      </c>
      <c r="E171" s="14">
        <f t="shared" si="150"/>
        <v>6.65534185909687</v>
      </c>
      <c r="F171" s="14">
        <f t="shared" si="151"/>
        <v>8.3242762605194081</v>
      </c>
      <c r="G171" s="14">
        <f t="shared" si="175"/>
        <v>1.7188699274016164</v>
      </c>
      <c r="H171" s="14">
        <f t="shared" si="176"/>
        <v>8.1448794609939643</v>
      </c>
      <c r="I171" s="14">
        <f t="shared" si="177"/>
        <v>1.3659625465261165</v>
      </c>
      <c r="J171" s="14">
        <f t="shared" si="152"/>
        <v>8.3593818136873974</v>
      </c>
      <c r="K171" s="14">
        <f t="shared" si="178"/>
        <v>8.8085762647483357E-2</v>
      </c>
      <c r="L171" s="14">
        <f t="shared" si="153"/>
        <v>0.65924297834575996</v>
      </c>
      <c r="M171" s="14">
        <f t="shared" si="154"/>
        <v>0.98133797489400676</v>
      </c>
      <c r="N171" s="14">
        <f t="shared" si="155"/>
        <v>0.1856258612964416</v>
      </c>
      <c r="O171" s="14">
        <f t="shared" si="179"/>
        <v>0.89407622275069887</v>
      </c>
      <c r="P171" s="14">
        <f t="shared" si="180"/>
        <v>0.74650473048906774</v>
      </c>
      <c r="Q171" s="14">
        <f t="shared" si="181"/>
        <v>-0.2344118613686568</v>
      </c>
      <c r="R171" s="1">
        <f t="shared" si="156"/>
        <v>0.71124150950024922</v>
      </c>
      <c r="S171" s="1">
        <f t="shared" si="157"/>
        <v>0.10303723624832981</v>
      </c>
      <c r="T171" s="1">
        <f t="shared" si="158"/>
        <v>60.616141477525915</v>
      </c>
      <c r="U171" s="1">
        <f t="shared" si="159"/>
        <v>18.251387713132772</v>
      </c>
      <c r="V171" s="1">
        <f t="shared" si="182"/>
        <v>8.8085762647483357E-2</v>
      </c>
      <c r="W171" s="1">
        <f t="shared" si="160"/>
        <v>60.616141477525915</v>
      </c>
      <c r="X171" s="1">
        <f t="shared" si="161"/>
        <v>18.251387713132772</v>
      </c>
      <c r="Z171" s="14">
        <f t="shared" si="183"/>
        <v>1.7787813959908734</v>
      </c>
      <c r="AA171" s="14">
        <f t="shared" si="162"/>
        <v>6.6553418590970814</v>
      </c>
      <c r="AB171" s="14">
        <f t="shared" si="163"/>
        <v>8.3242762605195768</v>
      </c>
      <c r="AC171" s="14">
        <f t="shared" si="184"/>
        <v>-1.7188699274015256</v>
      </c>
      <c r="AD171" s="14">
        <f t="shared" si="185"/>
        <v>8.1448794609941562</v>
      </c>
      <c r="AE171" s="14">
        <f t="shared" si="186"/>
        <v>1.7756301070636615</v>
      </c>
      <c r="AF171" s="14">
        <f t="shared" si="164"/>
        <v>8.3593818136875662</v>
      </c>
      <c r="AG171" s="14">
        <f t="shared" si="187"/>
        <v>8.8085762647487797E-2</v>
      </c>
      <c r="AH171" s="14">
        <f t="shared" si="165"/>
        <v>0.6592429783457836</v>
      </c>
      <c r="AI171" s="14">
        <f t="shared" si="166"/>
        <v>0.98133797489399588</v>
      </c>
      <c r="AJ171" s="14">
        <f t="shared" si="167"/>
        <v>-0.18562586129642888</v>
      </c>
      <c r="AK171" s="14">
        <f t="shared" si="188"/>
        <v>0.89407622275070175</v>
      </c>
      <c r="AL171" s="14">
        <f t="shared" si="189"/>
        <v>0.74650473048907773</v>
      </c>
      <c r="AM171" s="14">
        <f t="shared" si="190"/>
        <v>0.2348722430036998</v>
      </c>
      <c r="AN171" s="1">
        <f t="shared" si="168"/>
        <v>-0.71104694381391265</v>
      </c>
      <c r="AO171" s="1">
        <f t="shared" si="169"/>
        <v>0.10261998878748593</v>
      </c>
      <c r="AP171" s="1">
        <f t="shared" si="170"/>
        <v>60.585076025571887</v>
      </c>
      <c r="AQ171" s="1">
        <f t="shared" si="171"/>
        <v>18.277454722413307</v>
      </c>
      <c r="AR171" s="1">
        <f t="shared" si="191"/>
        <v>8.8085762647487797E-2</v>
      </c>
      <c r="AS171" s="1">
        <f t="shared" si="172"/>
        <v>60.585076025571887</v>
      </c>
      <c r="AT171" s="1">
        <f t="shared" si="173"/>
        <v>18.277454722413307</v>
      </c>
    </row>
    <row r="172" spans="1:46" x14ac:dyDescent="0.25">
      <c r="A172" s="14">
        <f t="shared" si="192"/>
        <v>5.1661745859032067</v>
      </c>
      <c r="B172" s="14">
        <f t="shared" si="148"/>
        <v>2.1918557339453471</v>
      </c>
      <c r="C172" s="14">
        <f t="shared" si="149"/>
        <v>-4.4939702314958545</v>
      </c>
      <c r="D172" s="14">
        <f t="shared" si="174"/>
        <v>1.3691138354533283</v>
      </c>
      <c r="E172" s="14">
        <f t="shared" si="150"/>
        <v>6.7434276217443534</v>
      </c>
      <c r="F172" s="14">
        <f t="shared" si="151"/>
        <v>8.3948684379032841</v>
      </c>
      <c r="G172" s="14">
        <f t="shared" si="175"/>
        <v>1.6816432755074329</v>
      </c>
      <c r="H172" s="14">
        <f t="shared" si="176"/>
        <v>8.2247122736084428</v>
      </c>
      <c r="I172" s="14">
        <f t="shared" si="177"/>
        <v>1.3722651243805402</v>
      </c>
      <c r="J172" s="14">
        <f t="shared" si="152"/>
        <v>8.4307417162946123</v>
      </c>
      <c r="K172" s="14">
        <f t="shared" si="178"/>
        <v>8.9596113331722016E-2</v>
      </c>
      <c r="L172" s="14">
        <f t="shared" si="153"/>
        <v>0.6691367230594818</v>
      </c>
      <c r="M172" s="14">
        <f t="shared" si="154"/>
        <v>0.97675224677941075</v>
      </c>
      <c r="N172" s="14">
        <f t="shared" si="155"/>
        <v>0.18032770589270922</v>
      </c>
      <c r="O172" s="14">
        <f t="shared" si="179"/>
        <v>0.89505145180163093</v>
      </c>
      <c r="P172" s="14">
        <f t="shared" si="180"/>
        <v>0.75083751803726162</v>
      </c>
      <c r="Q172" s="14">
        <f t="shared" si="181"/>
        <v>-0.22577753308943407</v>
      </c>
      <c r="R172" s="1">
        <f t="shared" si="156"/>
        <v>0.71577439199191706</v>
      </c>
      <c r="S172" s="1">
        <f t="shared" si="157"/>
        <v>0.11269371034572959</v>
      </c>
      <c r="T172" s="1">
        <f t="shared" si="158"/>
        <v>62.389207501761867</v>
      </c>
      <c r="U172" s="1">
        <f t="shared" si="159"/>
        <v>17.951848383719373</v>
      </c>
      <c r="V172" s="1">
        <f t="shared" si="182"/>
        <v>8.9596113331722016E-2</v>
      </c>
      <c r="W172" s="1">
        <f t="shared" si="160"/>
        <v>62.389207501761867</v>
      </c>
      <c r="X172" s="1">
        <f t="shared" si="161"/>
        <v>17.951848383719373</v>
      </c>
      <c r="Z172" s="14">
        <f t="shared" si="183"/>
        <v>1.7724788181364495</v>
      </c>
      <c r="AA172" s="14">
        <f t="shared" si="162"/>
        <v>6.7434276217445692</v>
      </c>
      <c r="AB172" s="14">
        <f t="shared" si="163"/>
        <v>8.3948684379034582</v>
      </c>
      <c r="AC172" s="14">
        <f t="shared" si="184"/>
        <v>-1.6816432755073409</v>
      </c>
      <c r="AD172" s="14">
        <f t="shared" si="185"/>
        <v>8.22471227360864</v>
      </c>
      <c r="AE172" s="14">
        <f t="shared" si="186"/>
        <v>1.7693275292092374</v>
      </c>
      <c r="AF172" s="14">
        <f t="shared" si="164"/>
        <v>8.4307417162947917</v>
      </c>
      <c r="AG172" s="14">
        <f t="shared" si="187"/>
        <v>8.9596113331726457E-2</v>
      </c>
      <c r="AH172" s="14">
        <f t="shared" si="165"/>
        <v>0.66913672305950656</v>
      </c>
      <c r="AI172" s="14">
        <f t="shared" si="166"/>
        <v>0.97675224677939942</v>
      </c>
      <c r="AJ172" s="14">
        <f t="shared" si="167"/>
        <v>-0.18032770589269598</v>
      </c>
      <c r="AK172" s="14">
        <f t="shared" si="188"/>
        <v>0.89505145180163326</v>
      </c>
      <c r="AL172" s="14">
        <f t="shared" si="189"/>
        <v>0.75083751803727283</v>
      </c>
      <c r="AM172" s="14">
        <f t="shared" si="190"/>
        <v>0.226227505645541</v>
      </c>
      <c r="AN172" s="1">
        <f t="shared" si="168"/>
        <v>-0.71558422537242616</v>
      </c>
      <c r="AO172" s="1">
        <f t="shared" si="169"/>
        <v>0.11228589671418188</v>
      </c>
      <c r="AP172" s="1">
        <f t="shared" si="170"/>
        <v>62.358323813231785</v>
      </c>
      <c r="AQ172" s="1">
        <f t="shared" si="171"/>
        <v>17.97776287537782</v>
      </c>
      <c r="AR172" s="1">
        <f t="shared" si="191"/>
        <v>8.9596113331726457E-2</v>
      </c>
      <c r="AS172" s="1">
        <f t="shared" si="172"/>
        <v>62.358323813231785</v>
      </c>
      <c r="AT172" s="1">
        <f t="shared" si="173"/>
        <v>17.97776287537782</v>
      </c>
    </row>
    <row r="173" spans="1:46" x14ac:dyDescent="0.25">
      <c r="A173" s="14">
        <f t="shared" si="192"/>
        <v>5.2010811709430929</v>
      </c>
      <c r="B173" s="14">
        <f t="shared" si="148"/>
        <v>2.3473578139294129</v>
      </c>
      <c r="C173" s="14">
        <f t="shared" si="149"/>
        <v>-4.4147379642946563</v>
      </c>
      <c r="D173" s="14">
        <f t="shared" si="174"/>
        <v>1.3754164133077522</v>
      </c>
      <c r="E173" s="14">
        <f t="shared" si="150"/>
        <v>6.8330237350760754</v>
      </c>
      <c r="F173" s="14">
        <f t="shared" si="151"/>
        <v>8.4670073440450615</v>
      </c>
      <c r="G173" s="14">
        <f t="shared" si="175"/>
        <v>1.6437783218324578</v>
      </c>
      <c r="H173" s="14">
        <f t="shared" si="176"/>
        <v>8.3059139288092005</v>
      </c>
      <c r="I173" s="14">
        <f t="shared" si="177"/>
        <v>1.3785677022349643</v>
      </c>
      <c r="J173" s="14">
        <f t="shared" si="152"/>
        <v>8.503671131199992</v>
      </c>
      <c r="K173" s="14">
        <f t="shared" si="178"/>
        <v>9.1152949630936675E-2</v>
      </c>
      <c r="L173" s="14">
        <f t="shared" si="153"/>
        <v>0.67910215844528754</v>
      </c>
      <c r="M173" s="14">
        <f t="shared" si="154"/>
        <v>0.97221871592974496</v>
      </c>
      <c r="N173" s="14">
        <f t="shared" si="155"/>
        <v>0.17496571966742205</v>
      </c>
      <c r="O173" s="14">
        <f t="shared" si="179"/>
        <v>0.89589832033571648</v>
      </c>
      <c r="P173" s="14">
        <f t="shared" si="180"/>
        <v>0.75542255403931602</v>
      </c>
      <c r="Q173" s="14">
        <f t="shared" si="181"/>
        <v>-0.21716116572141414</v>
      </c>
      <c r="R173" s="1">
        <f t="shared" si="156"/>
        <v>0.72018334973854692</v>
      </c>
      <c r="S173" s="1">
        <f t="shared" si="157"/>
        <v>0.12244051113254129</v>
      </c>
      <c r="T173" s="1">
        <f t="shared" si="158"/>
        <v>64.213002912429971</v>
      </c>
      <c r="U173" s="1">
        <f t="shared" si="159"/>
        <v>17.628419568356719</v>
      </c>
      <c r="V173" s="1">
        <f t="shared" si="182"/>
        <v>9.1152949630936675E-2</v>
      </c>
      <c r="W173" s="1">
        <f t="shared" si="160"/>
        <v>64.213002912429971</v>
      </c>
      <c r="X173" s="1">
        <f t="shared" si="161"/>
        <v>17.628419568356719</v>
      </c>
      <c r="Z173" s="14">
        <f t="shared" si="183"/>
        <v>1.7661762402820256</v>
      </c>
      <c r="AA173" s="14">
        <f t="shared" si="162"/>
        <v>6.8330237350762957</v>
      </c>
      <c r="AB173" s="14">
        <f t="shared" si="163"/>
        <v>8.4670073440452391</v>
      </c>
      <c r="AC173" s="14">
        <f t="shared" si="184"/>
        <v>-1.6437783218323641</v>
      </c>
      <c r="AD173" s="14">
        <f t="shared" si="185"/>
        <v>8.3059139288093995</v>
      </c>
      <c r="AE173" s="14">
        <f t="shared" si="186"/>
        <v>1.7630249513548137</v>
      </c>
      <c r="AF173" s="14">
        <f t="shared" si="164"/>
        <v>8.5036711312001678</v>
      </c>
      <c r="AG173" s="14">
        <f t="shared" si="187"/>
        <v>9.1152949630939339E-2</v>
      </c>
      <c r="AH173" s="14">
        <f t="shared" si="165"/>
        <v>0.67910215844531141</v>
      </c>
      <c r="AI173" s="14">
        <f t="shared" si="166"/>
        <v>0.97221871592973408</v>
      </c>
      <c r="AJ173" s="14">
        <f t="shared" si="167"/>
        <v>-0.17496571966740901</v>
      </c>
      <c r="AK173" s="14">
        <f t="shared" si="188"/>
        <v>0.89589832033571859</v>
      </c>
      <c r="AL173" s="14">
        <f t="shared" si="189"/>
        <v>0.75542255403932712</v>
      </c>
      <c r="AM173" s="14">
        <f t="shared" si="190"/>
        <v>0.217599529440967</v>
      </c>
      <c r="AN173" s="1">
        <f t="shared" si="168"/>
        <v>-0.71999808922538111</v>
      </c>
      <c r="AO173" s="1">
        <f t="shared" si="169"/>
        <v>0.1220432186799609</v>
      </c>
      <c r="AP173" s="1">
        <f t="shared" si="170"/>
        <v>64.182393196694449</v>
      </c>
      <c r="AQ173" s="1">
        <f t="shared" si="171"/>
        <v>17.654104169542894</v>
      </c>
      <c r="AR173" s="1">
        <f t="shared" si="191"/>
        <v>9.1152949630939339E-2</v>
      </c>
      <c r="AS173" s="1">
        <f t="shared" si="172"/>
        <v>64.182393196694449</v>
      </c>
      <c r="AT173" s="1">
        <f t="shared" si="173"/>
        <v>17.654104169542894</v>
      </c>
    </row>
    <row r="174" spans="1:46" x14ac:dyDescent="0.25">
      <c r="A174" s="14">
        <f t="shared" si="192"/>
        <v>5.2359877559829791</v>
      </c>
      <c r="B174" s="14">
        <f t="shared" si="148"/>
        <v>2.4999999999999583</v>
      </c>
      <c r="C174" s="14">
        <f t="shared" si="149"/>
        <v>-4.3301270189222176</v>
      </c>
      <c r="D174" s="14">
        <f t="shared" si="174"/>
        <v>1.3817189911621761</v>
      </c>
      <c r="E174" s="14">
        <f t="shared" si="150"/>
        <v>6.9241766847070121</v>
      </c>
      <c r="F174" s="14">
        <f t="shared" si="151"/>
        <v>8.5407390055568477</v>
      </c>
      <c r="G174" s="14">
        <f t="shared" si="175"/>
        <v>1.6052554207068941</v>
      </c>
      <c r="H174" s="14">
        <f t="shared" si="176"/>
        <v>8.3885265568710761</v>
      </c>
      <c r="I174" s="14">
        <f t="shared" si="177"/>
        <v>1.384870280089388</v>
      </c>
      <c r="J174" s="14">
        <f t="shared" si="152"/>
        <v>8.578217015643439</v>
      </c>
      <c r="K174" s="14">
        <f t="shared" si="178"/>
        <v>9.2758152970731089E-2</v>
      </c>
      <c r="L174" s="14">
        <f t="shared" si="153"/>
        <v>0.68913595285917351</v>
      </c>
      <c r="M174" s="14">
        <f t="shared" si="154"/>
        <v>0.96773565998013722</v>
      </c>
      <c r="N174" s="14">
        <f t="shared" si="155"/>
        <v>0.16954374207669809</v>
      </c>
      <c r="O174" s="14">
        <f t="shared" si="179"/>
        <v>0.89661306187259326</v>
      </c>
      <c r="P174" s="14">
        <f t="shared" si="180"/>
        <v>0.76025855096671757</v>
      </c>
      <c r="Q174" s="14">
        <f t="shared" si="181"/>
        <v>-0.20856987202912716</v>
      </c>
      <c r="R174" s="1">
        <f t="shared" si="156"/>
        <v>0.72446196316547495</v>
      </c>
      <c r="S174" s="1">
        <f t="shared" si="157"/>
        <v>0.13227064812182163</v>
      </c>
      <c r="T174" s="1">
        <f t="shared" si="158"/>
        <v>66.088839927613009</v>
      </c>
      <c r="U174" s="1">
        <f t="shared" si="159"/>
        <v>17.280188764407196</v>
      </c>
      <c r="V174" s="1">
        <f t="shared" si="182"/>
        <v>9.2758152970731089E-2</v>
      </c>
      <c r="W174" s="1">
        <f t="shared" si="160"/>
        <v>66.088839927613009</v>
      </c>
      <c r="X174" s="1">
        <f t="shared" si="161"/>
        <v>17.280188764407196</v>
      </c>
      <c r="Z174" s="14">
        <f t="shared" si="183"/>
        <v>1.7598736624276017</v>
      </c>
      <c r="AA174" s="14">
        <f t="shared" si="162"/>
        <v>6.924176684707235</v>
      </c>
      <c r="AB174" s="14">
        <f t="shared" si="163"/>
        <v>8.5407390055570307</v>
      </c>
      <c r="AC174" s="14">
        <f t="shared" si="184"/>
        <v>-1.6052554207067991</v>
      </c>
      <c r="AD174" s="14">
        <f t="shared" si="185"/>
        <v>8.3885265568712803</v>
      </c>
      <c r="AE174" s="14">
        <f t="shared" si="186"/>
        <v>1.7567223735003896</v>
      </c>
      <c r="AF174" s="14">
        <f t="shared" si="164"/>
        <v>8.5782170156436255</v>
      </c>
      <c r="AG174" s="14">
        <f t="shared" si="187"/>
        <v>9.2758152970734642E-2</v>
      </c>
      <c r="AH174" s="14">
        <f t="shared" si="165"/>
        <v>0.68913595285919838</v>
      </c>
      <c r="AI174" s="14">
        <f t="shared" si="166"/>
        <v>0.96773565998012612</v>
      </c>
      <c r="AJ174" s="14">
        <f t="shared" si="167"/>
        <v>-0.16954374207668452</v>
      </c>
      <c r="AK174" s="14">
        <f t="shared" si="188"/>
        <v>0.89661306187259482</v>
      </c>
      <c r="AL174" s="14">
        <f t="shared" si="189"/>
        <v>0.76025855096672967</v>
      </c>
      <c r="AM174" s="14">
        <f t="shared" si="190"/>
        <v>0.20899541920139583</v>
      </c>
      <c r="AN174" s="1">
        <f t="shared" si="168"/>
        <v>-0.72428211915924356</v>
      </c>
      <c r="AO174" s="1">
        <f t="shared" si="169"/>
        <v>0.13188497140584826</v>
      </c>
      <c r="AP174" s="1">
        <f t="shared" si="170"/>
        <v>66.058601878522595</v>
      </c>
      <c r="AQ174" s="1">
        <f t="shared" si="171"/>
        <v>17.305561500249187</v>
      </c>
      <c r="AR174" s="1">
        <f t="shared" si="191"/>
        <v>9.2758152970734642E-2</v>
      </c>
      <c r="AS174" s="1">
        <f t="shared" si="172"/>
        <v>66.058601878522595</v>
      </c>
      <c r="AT174" s="1">
        <f t="shared" si="173"/>
        <v>17.305561500249187</v>
      </c>
    </row>
    <row r="175" spans="1:46" x14ac:dyDescent="0.25">
      <c r="A175" s="14">
        <f t="shared" si="192"/>
        <v>5.2708943410228652</v>
      </c>
      <c r="B175" s="14">
        <f t="shared" si="148"/>
        <v>2.6495963211659825</v>
      </c>
      <c r="C175" s="14">
        <f t="shared" si="149"/>
        <v>-4.2402404807821563</v>
      </c>
      <c r="D175" s="14">
        <f t="shared" si="174"/>
        <v>1.3880215690166</v>
      </c>
      <c r="E175" s="14">
        <f t="shared" si="150"/>
        <v>7.0169348376777432</v>
      </c>
      <c r="F175" s="14">
        <f t="shared" si="151"/>
        <v>8.6161113337871615</v>
      </c>
      <c r="G175" s="14">
        <f t="shared" si="175"/>
        <v>1.5660541313361263</v>
      </c>
      <c r="H175" s="14">
        <f t="shared" si="176"/>
        <v>8.4725939932195864</v>
      </c>
      <c r="I175" s="14">
        <f t="shared" si="177"/>
        <v>1.3911728579438121</v>
      </c>
      <c r="J175" s="14">
        <f t="shared" si="152"/>
        <v>8.6544282592784914</v>
      </c>
      <c r="K175" s="14">
        <f t="shared" si="178"/>
        <v>9.4413701639485481E-2</v>
      </c>
      <c r="L175" s="14">
        <f t="shared" si="153"/>
        <v>0.69923464616437292</v>
      </c>
      <c r="M175" s="14">
        <f t="shared" si="154"/>
        <v>0.96330145867904204</v>
      </c>
      <c r="N175" s="14">
        <f t="shared" si="155"/>
        <v>0.16406561986469062</v>
      </c>
      <c r="O175" s="14">
        <f t="shared" si="179"/>
        <v>0.89719224683757326</v>
      </c>
      <c r="P175" s="14">
        <f t="shared" si="180"/>
        <v>0.76534385800584159</v>
      </c>
      <c r="Q175" s="14">
        <f t="shared" si="181"/>
        <v>-0.20001087115484159</v>
      </c>
      <c r="R175" s="1">
        <f t="shared" si="156"/>
        <v>0.72860407308109865</v>
      </c>
      <c r="S175" s="1">
        <f t="shared" si="157"/>
        <v>0.14217688088473246</v>
      </c>
      <c r="T175" s="1">
        <f t="shared" si="158"/>
        <v>68.018094042892017</v>
      </c>
      <c r="U175" s="1">
        <f t="shared" si="159"/>
        <v>16.906224660760902</v>
      </c>
      <c r="V175" s="1">
        <f t="shared" si="182"/>
        <v>9.4413701639485481E-2</v>
      </c>
      <c r="W175" s="1">
        <f t="shared" si="160"/>
        <v>68.018094042892017</v>
      </c>
      <c r="X175" s="1">
        <f t="shared" si="161"/>
        <v>16.906224660760902</v>
      </c>
      <c r="Z175" s="14">
        <f t="shared" si="183"/>
        <v>1.7535710845731778</v>
      </c>
      <c r="AA175" s="14">
        <f t="shared" si="162"/>
        <v>7.0169348376779697</v>
      </c>
      <c r="AB175" s="14">
        <f t="shared" si="163"/>
        <v>8.6161113337873481</v>
      </c>
      <c r="AC175" s="14">
        <f t="shared" si="184"/>
        <v>-1.5660541313360294</v>
      </c>
      <c r="AD175" s="14">
        <f t="shared" si="185"/>
        <v>8.4725939932197942</v>
      </c>
      <c r="AE175" s="14">
        <f t="shared" si="186"/>
        <v>1.7504197956459659</v>
      </c>
      <c r="AF175" s="14">
        <f t="shared" si="164"/>
        <v>8.6544282592786761</v>
      </c>
      <c r="AG175" s="14">
        <f t="shared" si="187"/>
        <v>9.4413701639491698E-2</v>
      </c>
      <c r="AH175" s="14">
        <f t="shared" si="165"/>
        <v>0.69923464616439723</v>
      </c>
      <c r="AI175" s="14">
        <f t="shared" si="166"/>
        <v>0.96330145867903161</v>
      </c>
      <c r="AJ175" s="14">
        <f t="shared" si="167"/>
        <v>-0.1640656198646773</v>
      </c>
      <c r="AK175" s="14">
        <f t="shared" si="188"/>
        <v>0.89719224683757492</v>
      </c>
      <c r="AL175" s="14">
        <f t="shared" si="189"/>
        <v>0.76534385800585403</v>
      </c>
      <c r="AM175" s="14">
        <f t="shared" si="190"/>
        <v>0.20042238832036474</v>
      </c>
      <c r="AN175" s="1">
        <f t="shared" si="168"/>
        <v>-0.72843015841193026</v>
      </c>
      <c r="AO175" s="1">
        <f t="shared" si="169"/>
        <v>0.14180391967312489</v>
      </c>
      <c r="AP175" s="1">
        <f t="shared" si="170"/>
        <v>67.988331026248503</v>
      </c>
      <c r="AQ175" s="1">
        <f t="shared" si="171"/>
        <v>16.931198797053948</v>
      </c>
      <c r="AR175" s="1">
        <f t="shared" si="191"/>
        <v>9.4413701639491698E-2</v>
      </c>
      <c r="AS175" s="1">
        <f t="shared" si="172"/>
        <v>67.988331026248503</v>
      </c>
      <c r="AT175" s="1">
        <f t="shared" si="173"/>
        <v>16.931198797053948</v>
      </c>
    </row>
    <row r="176" spans="1:46" x14ac:dyDescent="0.25">
      <c r="A176" s="14">
        <f t="shared" si="192"/>
        <v>5.3058009260627514</v>
      </c>
      <c r="B176" s="14">
        <f t="shared" si="148"/>
        <v>2.7959645173536907</v>
      </c>
      <c r="C176" s="14">
        <f t="shared" si="149"/>
        <v>-4.1451878627752379</v>
      </c>
      <c r="D176" s="14">
        <f t="shared" si="174"/>
        <v>1.3943241468710239</v>
      </c>
      <c r="E176" s="14">
        <f t="shared" si="150"/>
        <v>7.1113485393172287</v>
      </c>
      <c r="F176" s="14">
        <f t="shared" si="151"/>
        <v>8.6931742216321233</v>
      </c>
      <c r="G176" s="14">
        <f t="shared" si="175"/>
        <v>1.5261531768647414</v>
      </c>
      <c r="H176" s="14">
        <f t="shared" si="176"/>
        <v>8.5581618662184074</v>
      </c>
      <c r="I176" s="14">
        <f t="shared" si="177"/>
        <v>1.3974754357982357</v>
      </c>
      <c r="J176" s="14">
        <f t="shared" si="152"/>
        <v>8.7323557839492665</v>
      </c>
      <c r="K176" s="14">
        <f t="shared" si="178"/>
        <v>9.6121676825800861E-2</v>
      </c>
      <c r="L176" s="14">
        <f t="shared" si="153"/>
        <v>0.70939465211532371</v>
      </c>
      <c r="M176" s="14">
        <f t="shared" si="154"/>
        <v>0.95891459497970066</v>
      </c>
      <c r="N176" s="14">
        <f t="shared" si="155"/>
        <v>0.15853520213539288</v>
      </c>
      <c r="O176" s="14">
        <f t="shared" si="179"/>
        <v>0.89763278998579665</v>
      </c>
      <c r="P176" s="14">
        <f t="shared" si="180"/>
        <v>0.77067645710922794</v>
      </c>
      <c r="Q176" s="14">
        <f t="shared" si="181"/>
        <v>-0.19149147023693724</v>
      </c>
      <c r="R176" s="1">
        <f t="shared" si="156"/>
        <v>0.7326037951738561</v>
      </c>
      <c r="S176" s="1">
        <f t="shared" si="157"/>
        <v>0.15215173404114951</v>
      </c>
      <c r="T176" s="1">
        <f t="shared" si="158"/>
        <v>70.002209242394102</v>
      </c>
      <c r="U176" s="1">
        <f t="shared" si="159"/>
        <v>16.505576134298199</v>
      </c>
      <c r="V176" s="1">
        <f t="shared" si="182"/>
        <v>9.6121676825800861E-2</v>
      </c>
      <c r="W176" s="1">
        <f t="shared" si="160"/>
        <v>70.002209242394102</v>
      </c>
      <c r="X176" s="1">
        <f t="shared" si="161"/>
        <v>16.505576134298199</v>
      </c>
      <c r="Z176" s="14">
        <f t="shared" si="183"/>
        <v>1.7472685067187539</v>
      </c>
      <c r="AA176" s="14">
        <f t="shared" si="162"/>
        <v>7.1113485393174614</v>
      </c>
      <c r="AB176" s="14">
        <f t="shared" si="163"/>
        <v>8.6931742216323133</v>
      </c>
      <c r="AC176" s="14">
        <f t="shared" si="184"/>
        <v>-1.5261531768646424</v>
      </c>
      <c r="AD176" s="14">
        <f t="shared" si="185"/>
        <v>8.5581618662186187</v>
      </c>
      <c r="AE176" s="14">
        <f t="shared" si="186"/>
        <v>1.7441172177915418</v>
      </c>
      <c r="AF176" s="14">
        <f t="shared" si="164"/>
        <v>8.7323557839494601</v>
      </c>
      <c r="AG176" s="14">
        <f t="shared" si="187"/>
        <v>9.6121676825805302E-2</v>
      </c>
      <c r="AH176" s="14">
        <f t="shared" si="165"/>
        <v>0.70939465211534891</v>
      </c>
      <c r="AI176" s="14">
        <f t="shared" si="166"/>
        <v>0.95891459497968967</v>
      </c>
      <c r="AJ176" s="14">
        <f t="shared" si="167"/>
        <v>-0.15853520213537906</v>
      </c>
      <c r="AK176" s="14">
        <f t="shared" si="188"/>
        <v>0.89763278998579732</v>
      </c>
      <c r="AL176" s="14">
        <f t="shared" si="189"/>
        <v>0.77067645710924126</v>
      </c>
      <c r="AM176" s="14">
        <f t="shared" si="190"/>
        <v>0.19188774042809767</v>
      </c>
      <c r="AN176" s="1">
        <f t="shared" si="168"/>
        <v>-0.73243632415448867</v>
      </c>
      <c r="AO176" s="1">
        <f t="shared" si="169"/>
        <v>0.15179259128113598</v>
      </c>
      <c r="AP176" s="1">
        <f t="shared" si="170"/>
        <v>69.973030490630492</v>
      </c>
      <c r="AQ176" s="1">
        <f t="shared" si="171"/>
        <v>16.530060014144496</v>
      </c>
      <c r="AR176" s="1">
        <f t="shared" si="191"/>
        <v>9.6121676825805302E-2</v>
      </c>
      <c r="AS176" s="1">
        <f t="shared" si="172"/>
        <v>69.973030490630492</v>
      </c>
      <c r="AT176" s="1">
        <f t="shared" si="173"/>
        <v>16.530060014144496</v>
      </c>
    </row>
    <row r="177" spans="1:46" x14ac:dyDescent="0.25">
      <c r="A177" s="14">
        <f t="shared" si="192"/>
        <v>5.3407075111026376</v>
      </c>
      <c r="B177" s="14">
        <f t="shared" si="148"/>
        <v>2.9389262614623219</v>
      </c>
      <c r="C177" s="14">
        <f t="shared" si="149"/>
        <v>-4.0450849718747692</v>
      </c>
      <c r="D177" s="14">
        <f t="shared" si="174"/>
        <v>1.4006267247254478</v>
      </c>
      <c r="E177" s="14">
        <f t="shared" si="150"/>
        <v>7.2074702161430295</v>
      </c>
      <c r="F177" s="14">
        <f t="shared" si="151"/>
        <v>8.7719796463847803</v>
      </c>
      <c r="G177" s="14">
        <f t="shared" si="175"/>
        <v>1.4855304008890196</v>
      </c>
      <c r="H177" s="14">
        <f t="shared" si="176"/>
        <v>8.6452776904286512</v>
      </c>
      <c r="I177" s="14">
        <f t="shared" si="177"/>
        <v>1.4037780136526599</v>
      </c>
      <c r="J177" s="14">
        <f t="shared" si="152"/>
        <v>8.8120526497230198</v>
      </c>
      <c r="K177" s="14">
        <f t="shared" si="178"/>
        <v>9.7884269099767884E-2</v>
      </c>
      <c r="L177" s="14">
        <f t="shared" si="153"/>
        <v>0.71961226092629826</v>
      </c>
      <c r="M177" s="14">
        <f t="shared" si="154"/>
        <v>0.95457365595365606</v>
      </c>
      <c r="N177" s="14">
        <f t="shared" si="155"/>
        <v>0.15295633545447479</v>
      </c>
      <c r="O177" s="14">
        <f t="shared" si="179"/>
        <v>0.89793195686326877</v>
      </c>
      <c r="P177" s="14">
        <f t="shared" si="180"/>
        <v>0.77625396001668523</v>
      </c>
      <c r="Q177" s="14">
        <f t="shared" si="181"/>
        <v>-0.18301904577068762</v>
      </c>
      <c r="R177" s="1">
        <f t="shared" si="156"/>
        <v>0.73645553374518824</v>
      </c>
      <c r="S177" s="1">
        <f t="shared" si="157"/>
        <v>0.1621875128935947</v>
      </c>
      <c r="T177" s="1">
        <f t="shared" si="158"/>
        <v>72.042703599319211</v>
      </c>
      <c r="U177" s="1">
        <f t="shared" si="159"/>
        <v>16.0772711191069</v>
      </c>
      <c r="V177" s="1">
        <f t="shared" si="182"/>
        <v>9.7884269099767884E-2</v>
      </c>
      <c r="W177" s="1">
        <f t="shared" si="160"/>
        <v>72.042703599319211</v>
      </c>
      <c r="X177" s="1">
        <f t="shared" si="161"/>
        <v>16.0772711191069</v>
      </c>
      <c r="Z177" s="14">
        <f t="shared" si="183"/>
        <v>1.74096592886433</v>
      </c>
      <c r="AA177" s="14">
        <f t="shared" si="162"/>
        <v>7.2074702161432667</v>
      </c>
      <c r="AB177" s="14">
        <f t="shared" si="163"/>
        <v>8.7719796463849757</v>
      </c>
      <c r="AC177" s="14">
        <f t="shared" si="184"/>
        <v>-1.485530400888919</v>
      </c>
      <c r="AD177" s="14">
        <f t="shared" si="185"/>
        <v>8.645277690428868</v>
      </c>
      <c r="AE177" s="14">
        <f t="shared" si="186"/>
        <v>1.7378146399371182</v>
      </c>
      <c r="AF177" s="14">
        <f t="shared" si="164"/>
        <v>8.8120526497232134</v>
      </c>
      <c r="AG177" s="14">
        <f t="shared" si="187"/>
        <v>9.7884269099771437E-2</v>
      </c>
      <c r="AH177" s="14">
        <f t="shared" si="165"/>
        <v>0.71961226092632269</v>
      </c>
      <c r="AI177" s="14">
        <f t="shared" si="166"/>
        <v>0.95457365595364563</v>
      </c>
      <c r="AJ177" s="14">
        <f t="shared" si="167"/>
        <v>-0.15295633545446125</v>
      </c>
      <c r="AK177" s="14">
        <f t="shared" si="188"/>
        <v>0.89793195686326943</v>
      </c>
      <c r="AL177" s="14">
        <f t="shared" si="189"/>
        <v>0.77625396001669889</v>
      </c>
      <c r="AM177" s="14">
        <f t="shared" si="190"/>
        <v>0.18339885078241516</v>
      </c>
      <c r="AN177" s="1">
        <f t="shared" si="168"/>
        <v>-0.73629502121133206</v>
      </c>
      <c r="AO177" s="1">
        <f t="shared" si="169"/>
        <v>0.16184329265391625</v>
      </c>
      <c r="AP177" s="1">
        <f t="shared" si="170"/>
        <v>72.014224414107517</v>
      </c>
      <c r="AQ177" s="1">
        <f t="shared" si="171"/>
        <v>16.101167992916793</v>
      </c>
      <c r="AR177" s="1">
        <f t="shared" si="191"/>
        <v>9.7884269099771437E-2</v>
      </c>
      <c r="AS177" s="1">
        <f t="shared" si="172"/>
        <v>72.014224414107517</v>
      </c>
      <c r="AT177" s="1">
        <f t="shared" si="173"/>
        <v>16.101167992916793</v>
      </c>
    </row>
    <row r="178" spans="1:46" x14ac:dyDescent="0.25">
      <c r="A178" s="14">
        <f t="shared" si="192"/>
        <v>5.3756140961425238</v>
      </c>
      <c r="B178" s="14">
        <f t="shared" si="148"/>
        <v>3.0783073766282469</v>
      </c>
      <c r="C178" s="14">
        <f t="shared" si="149"/>
        <v>-3.9400537680336445</v>
      </c>
      <c r="D178" s="14">
        <f t="shared" si="174"/>
        <v>1.4069293025798717</v>
      </c>
      <c r="E178" s="14">
        <f t="shared" si="150"/>
        <v>7.3053544852427974</v>
      </c>
      <c r="F178" s="14">
        <f t="shared" si="151"/>
        <v>8.8525817790663233</v>
      </c>
      <c r="G178" s="14">
        <f t="shared" si="175"/>
        <v>1.4441627212303172</v>
      </c>
      <c r="H178" s="14">
        <f t="shared" si="176"/>
        <v>8.7339909657421622</v>
      </c>
      <c r="I178" s="14">
        <f t="shared" si="177"/>
        <v>1.4100805915070835</v>
      </c>
      <c r="J178" s="14">
        <f t="shared" si="152"/>
        <v>8.8935741676403754</v>
      </c>
      <c r="K178" s="14">
        <f t="shared" si="178"/>
        <v>9.9703785375721665E-2</v>
      </c>
      <c r="L178" s="14">
        <f t="shared" si="153"/>
        <v>0.72988364202193701</v>
      </c>
      <c r="M178" s="14">
        <f t="shared" si="154"/>
        <v>0.95027733352681576</v>
      </c>
      <c r="N178" s="14">
        <f t="shared" si="155"/>
        <v>0.14733285898808796</v>
      </c>
      <c r="O178" s="14">
        <f t="shared" si="179"/>
        <v>0.89808736929304667</v>
      </c>
      <c r="P178" s="14">
        <f t="shared" si="180"/>
        <v>0.78207360625570599</v>
      </c>
      <c r="Q178" s="14">
        <f t="shared" si="181"/>
        <v>-0.17460102476179706</v>
      </c>
      <c r="R178" s="1">
        <f t="shared" si="156"/>
        <v>0.74015399464657228</v>
      </c>
      <c r="S178" s="1">
        <f t="shared" si="157"/>
        <v>0.17227631966287107</v>
      </c>
      <c r="T178" s="1">
        <f t="shared" si="158"/>
        <v>74.141175296711694</v>
      </c>
      <c r="U178" s="1">
        <f t="shared" si="159"/>
        <v>15.620315337476169</v>
      </c>
      <c r="V178" s="1">
        <f t="shared" si="182"/>
        <v>9.9703785375721665E-2</v>
      </c>
      <c r="W178" s="1">
        <f t="shared" si="160"/>
        <v>74.141175296711694</v>
      </c>
      <c r="X178" s="1">
        <f t="shared" si="161"/>
        <v>15.620315337476169</v>
      </c>
      <c r="Z178" s="14">
        <f t="shared" si="183"/>
        <v>1.7346633510099061</v>
      </c>
      <c r="AA178" s="14">
        <f t="shared" si="162"/>
        <v>7.3053544852430381</v>
      </c>
      <c r="AB178" s="14">
        <f t="shared" si="163"/>
        <v>8.8525817790665204</v>
      </c>
      <c r="AC178" s="14">
        <f t="shared" si="184"/>
        <v>-1.4441627212302144</v>
      </c>
      <c r="AD178" s="14">
        <f t="shared" si="185"/>
        <v>8.7339909657423789</v>
      </c>
      <c r="AE178" s="14">
        <f t="shared" si="186"/>
        <v>1.731512062082694</v>
      </c>
      <c r="AF178" s="14">
        <f t="shared" si="164"/>
        <v>8.893574167640578</v>
      </c>
      <c r="AG178" s="14">
        <f t="shared" si="187"/>
        <v>9.9703785375725218E-2</v>
      </c>
      <c r="AH178" s="14">
        <f t="shared" si="165"/>
        <v>0.72988364202196232</v>
      </c>
      <c r="AI178" s="14">
        <f t="shared" si="166"/>
        <v>0.9502773335268051</v>
      </c>
      <c r="AJ178" s="14">
        <f t="shared" si="167"/>
        <v>-0.14733285898807388</v>
      </c>
      <c r="AK178" s="14">
        <f t="shared" si="188"/>
        <v>0.89808736929304689</v>
      </c>
      <c r="AL178" s="14">
        <f t="shared" si="189"/>
        <v>0.78207360625572053</v>
      </c>
      <c r="AM178" s="14">
        <f t="shared" si="190"/>
        <v>0.17496314744622588</v>
      </c>
      <c r="AN178" s="1">
        <f t="shared" si="168"/>
        <v>-0.74000095498714225</v>
      </c>
      <c r="AO178" s="1">
        <f t="shared" si="169"/>
        <v>0.1719481250541168</v>
      </c>
      <c r="AP178" s="1">
        <f t="shared" si="170"/>
        <v>74.113517260251186</v>
      </c>
      <c r="AQ178" s="1">
        <f t="shared" si="171"/>
        <v>15.643523185671727</v>
      </c>
      <c r="AR178" s="1">
        <f t="shared" si="191"/>
        <v>9.9703785375725218E-2</v>
      </c>
      <c r="AS178" s="1">
        <f t="shared" si="172"/>
        <v>74.113517260251186</v>
      </c>
      <c r="AT178" s="1">
        <f t="shared" si="173"/>
        <v>15.643523185671727</v>
      </c>
    </row>
    <row r="179" spans="1:46" x14ac:dyDescent="0.25">
      <c r="A179" s="14">
        <f t="shared" si="192"/>
        <v>5.41052068118241</v>
      </c>
      <c r="B179" s="14">
        <f t="shared" si="148"/>
        <v>3.2139380484326519</v>
      </c>
      <c r="C179" s="14">
        <f t="shared" si="149"/>
        <v>-3.8302222155949277</v>
      </c>
      <c r="D179" s="14">
        <f t="shared" si="174"/>
        <v>1.4132318804342956</v>
      </c>
      <c r="E179" s="14">
        <f t="shared" si="150"/>
        <v>7.4050582706185191</v>
      </c>
      <c r="F179" s="14">
        <f t="shared" si="151"/>
        <v>8.9350371007207201</v>
      </c>
      <c r="G179" s="14">
        <f t="shared" si="175"/>
        <v>1.4020260807658615</v>
      </c>
      <c r="H179" s="14">
        <f t="shared" si="176"/>
        <v>8.8243532828252089</v>
      </c>
      <c r="I179" s="14">
        <f t="shared" si="177"/>
        <v>1.4163831693615077</v>
      </c>
      <c r="J179" s="14">
        <f t="shared" si="152"/>
        <v>8.976978019684994</v>
      </c>
      <c r="K179" s="14">
        <f t="shared" si="178"/>
        <v>0.10158265639783437</v>
      </c>
      <c r="L179" s="14">
        <f t="shared" si="153"/>
        <v>0.74020484696670752</v>
      </c>
      <c r="M179" s="14">
        <f t="shared" si="154"/>
        <v>0.94602442503879836</v>
      </c>
      <c r="N179" s="14">
        <f t="shared" si="155"/>
        <v>0.1416685996854801</v>
      </c>
      <c r="O179" s="14">
        <f t="shared" si="179"/>
        <v>0.89809700987742491</v>
      </c>
      <c r="P179" s="14">
        <f t="shared" si="180"/>
        <v>0.78813226212808085</v>
      </c>
      <c r="Q179" s="14">
        <f t="shared" si="181"/>
        <v>-0.16624486572340802</v>
      </c>
      <c r="R179" s="1">
        <f t="shared" si="156"/>
        <v>0.74369419739089859</v>
      </c>
      <c r="S179" s="1">
        <f t="shared" si="157"/>
        <v>0.18241007028234787</v>
      </c>
      <c r="T179" s="1">
        <f t="shared" si="158"/>
        <v>76.299309102251314</v>
      </c>
      <c r="U179" s="1">
        <f t="shared" si="159"/>
        <v>15.133690880732287</v>
      </c>
      <c r="V179" s="1">
        <f t="shared" si="182"/>
        <v>0.10158265639783437</v>
      </c>
      <c r="W179" s="1">
        <f t="shared" si="160"/>
        <v>76.299309102251314</v>
      </c>
      <c r="X179" s="1">
        <f t="shared" si="161"/>
        <v>15.133690880732287</v>
      </c>
      <c r="Z179" s="14">
        <f t="shared" si="183"/>
        <v>1.7283607731554822</v>
      </c>
      <c r="AA179" s="14">
        <f t="shared" si="162"/>
        <v>7.4050582706187633</v>
      </c>
      <c r="AB179" s="14">
        <f t="shared" si="163"/>
        <v>8.9350371007209244</v>
      </c>
      <c r="AC179" s="14">
        <f t="shared" si="184"/>
        <v>-1.4020260807657576</v>
      </c>
      <c r="AD179" s="14">
        <f t="shared" si="185"/>
        <v>8.8243532828254327</v>
      </c>
      <c r="AE179" s="14">
        <f t="shared" si="186"/>
        <v>1.7252094842282704</v>
      </c>
      <c r="AF179" s="14">
        <f t="shared" si="164"/>
        <v>8.9769780196851947</v>
      </c>
      <c r="AG179" s="14">
        <f t="shared" si="187"/>
        <v>0.10158265639783881</v>
      </c>
      <c r="AH179" s="14">
        <f t="shared" si="165"/>
        <v>0.74020484696673228</v>
      </c>
      <c r="AI179" s="14">
        <f t="shared" si="166"/>
        <v>0.94602442503878825</v>
      </c>
      <c r="AJ179" s="14">
        <f t="shared" si="167"/>
        <v>-0.14166859968546636</v>
      </c>
      <c r="AK179" s="14">
        <f t="shared" si="188"/>
        <v>0.89809700987742491</v>
      </c>
      <c r="AL179" s="14">
        <f t="shared" si="189"/>
        <v>0.78813226212809562</v>
      </c>
      <c r="AM179" s="14">
        <f t="shared" si="190"/>
        <v>0.16658809230230195</v>
      </c>
      <c r="AN179" s="1">
        <f t="shared" si="168"/>
        <v>-0.74354914357074331</v>
      </c>
      <c r="AO179" s="1">
        <f t="shared" si="169"/>
        <v>0.18209900136118462</v>
      </c>
      <c r="AP179" s="1">
        <f t="shared" si="170"/>
        <v>76.272600298102134</v>
      </c>
      <c r="AQ179" s="1">
        <f t="shared" si="171"/>
        <v>15.156102228446169</v>
      </c>
      <c r="AR179" s="1">
        <f t="shared" si="191"/>
        <v>0.10158265639783881</v>
      </c>
      <c r="AS179" s="1">
        <f t="shared" si="172"/>
        <v>76.272600298102134</v>
      </c>
      <c r="AT179" s="1">
        <f t="shared" si="173"/>
        <v>15.156102228446169</v>
      </c>
    </row>
    <row r="180" spans="1:46" x14ac:dyDescent="0.25">
      <c r="A180" s="14">
        <f t="shared" si="192"/>
        <v>5.4454272662222962</v>
      </c>
      <c r="B180" s="14">
        <f t="shared" si="148"/>
        <v>3.3456530317942463</v>
      </c>
      <c r="C180" s="14">
        <f t="shared" si="149"/>
        <v>-3.7157241273870119</v>
      </c>
      <c r="D180" s="14">
        <f t="shared" si="174"/>
        <v>1.4195344582887195</v>
      </c>
      <c r="E180" s="14">
        <f t="shared" si="150"/>
        <v>7.5066409270163534</v>
      </c>
      <c r="F180" s="14">
        <f t="shared" si="151"/>
        <v>9.0194045261955615</v>
      </c>
      <c r="G180" s="14">
        <f t="shared" si="175"/>
        <v>1.359095395096007</v>
      </c>
      <c r="H180" s="14">
        <f t="shared" si="176"/>
        <v>8.9164184353464382</v>
      </c>
      <c r="I180" s="14">
        <f t="shared" si="177"/>
        <v>1.4226857472159313</v>
      </c>
      <c r="J180" s="14">
        <f t="shared" si="152"/>
        <v>9.0623243865175294</v>
      </c>
      <c r="K180" s="14">
        <f t="shared" si="178"/>
        <v>0.10352344479383113</v>
      </c>
      <c r="L180" s="14">
        <f t="shared" si="153"/>
        <v>0.75057181257002026</v>
      </c>
      <c r="M180" s="14">
        <f t="shared" si="154"/>
        <v>0.94181383362657467</v>
      </c>
      <c r="N180" s="14">
        <f t="shared" si="155"/>
        <v>0.13596736751220412</v>
      </c>
      <c r="O180" s="14">
        <f t="shared" si="179"/>
        <v>0.89795922550959628</v>
      </c>
      <c r="P180" s="14">
        <f t="shared" si="180"/>
        <v>0.79442642068699842</v>
      </c>
      <c r="Q180" s="14">
        <f t="shared" si="181"/>
        <v>-0.15795803956759891</v>
      </c>
      <c r="R180" s="1">
        <f t="shared" si="156"/>
        <v>0.74707148641071908</v>
      </c>
      <c r="S180" s="1">
        <f t="shared" si="157"/>
        <v>0.19258051170646676</v>
      </c>
      <c r="T180" s="1">
        <f t="shared" si="158"/>
        <v>78.518883334058486</v>
      </c>
      <c r="U180" s="1">
        <f t="shared" si="159"/>
        <v>14.616354626899749</v>
      </c>
      <c r="V180" s="1">
        <f t="shared" si="182"/>
        <v>0.10352344479383113</v>
      </c>
      <c r="W180" s="1">
        <f t="shared" si="160"/>
        <v>78.518883334058486</v>
      </c>
      <c r="X180" s="1">
        <f t="shared" si="161"/>
        <v>14.616354626899749</v>
      </c>
      <c r="Z180" s="14">
        <f t="shared" si="183"/>
        <v>1.7220581953010583</v>
      </c>
      <c r="AA180" s="14">
        <f t="shared" si="162"/>
        <v>7.5066409270166021</v>
      </c>
      <c r="AB180" s="14">
        <f t="shared" si="163"/>
        <v>9.0194045261957658</v>
      </c>
      <c r="AC180" s="14">
        <f t="shared" si="184"/>
        <v>-1.3590953950958999</v>
      </c>
      <c r="AD180" s="14">
        <f t="shared" si="185"/>
        <v>8.9164184353466602</v>
      </c>
      <c r="AE180" s="14">
        <f t="shared" si="186"/>
        <v>1.7189069063738462</v>
      </c>
      <c r="AF180" s="14">
        <f t="shared" si="164"/>
        <v>9.0623243865177425</v>
      </c>
      <c r="AG180" s="14">
        <f t="shared" si="187"/>
        <v>0.10352344479383557</v>
      </c>
      <c r="AH180" s="14">
        <f t="shared" si="165"/>
        <v>0.75057181257004602</v>
      </c>
      <c r="AI180" s="14">
        <f t="shared" si="166"/>
        <v>0.94181383362656446</v>
      </c>
      <c r="AJ180" s="14">
        <f t="shared" si="167"/>
        <v>-0.13596736751218993</v>
      </c>
      <c r="AK180" s="14">
        <f t="shared" si="188"/>
        <v>0.89795922550959606</v>
      </c>
      <c r="AL180" s="14">
        <f t="shared" si="189"/>
        <v>0.7944264206870143</v>
      </c>
      <c r="AM180" s="14">
        <f t="shared" si="190"/>
        <v>0.15828116195628511</v>
      </c>
      <c r="AN180" s="1">
        <f t="shared" si="168"/>
        <v>-0.74693492898848279</v>
      </c>
      <c r="AO180" s="1">
        <f t="shared" si="169"/>
        <v>0.19228766336944134</v>
      </c>
      <c r="AP180" s="1">
        <f t="shared" si="170"/>
        <v>78.49325857844741</v>
      </c>
      <c r="AQ180" s="1">
        <f t="shared" si="171"/>
        <v>14.637856349885052</v>
      </c>
      <c r="AR180" s="1">
        <f t="shared" si="191"/>
        <v>0.10352344479383557</v>
      </c>
      <c r="AS180" s="1">
        <f t="shared" si="172"/>
        <v>78.49325857844741</v>
      </c>
      <c r="AT180" s="1">
        <f t="shared" si="173"/>
        <v>14.637856349885052</v>
      </c>
    </row>
    <row r="181" spans="1:46" x14ac:dyDescent="0.25">
      <c r="A181" s="14">
        <f t="shared" si="192"/>
        <v>5.4803338512621824</v>
      </c>
      <c r="B181" s="14">
        <f t="shared" si="148"/>
        <v>3.4732918522949419</v>
      </c>
      <c r="C181" s="14">
        <f t="shared" si="149"/>
        <v>-3.5966990016932989</v>
      </c>
      <c r="D181" s="14">
        <f t="shared" si="174"/>
        <v>1.4258370361431434</v>
      </c>
      <c r="E181" s="14">
        <f t="shared" si="150"/>
        <v>7.6101643718101846</v>
      </c>
      <c r="F181" s="14">
        <f t="shared" si="151"/>
        <v>9.1057455359772206</v>
      </c>
      <c r="G181" s="14">
        <f t="shared" si="175"/>
        <v>1.3153444968078289</v>
      </c>
      <c r="H181" s="14">
        <f t="shared" si="176"/>
        <v>9.0102425395039418</v>
      </c>
      <c r="I181" s="14">
        <f t="shared" si="177"/>
        <v>1.4289883250703554</v>
      </c>
      <c r="J181" s="14">
        <f t="shared" si="152"/>
        <v>9.1496760835664706</v>
      </c>
      <c r="K181" s="14">
        <f t="shared" si="178"/>
        <v>0.10552885374671028</v>
      </c>
      <c r="L181" s="14">
        <f t="shared" si="153"/>
        <v>0.76098036416351111</v>
      </c>
      <c r="M181" s="14">
        <f t="shared" si="154"/>
        <v>0.93764456843364363</v>
      </c>
      <c r="N181" s="14">
        <f t="shared" si="155"/>
        <v>0.1302329507405893</v>
      </c>
      <c r="O181" s="14">
        <f t="shared" si="179"/>
        <v>0.89767272989086433</v>
      </c>
      <c r="P181" s="14">
        <f t="shared" si="180"/>
        <v>0.80095220270629053</v>
      </c>
      <c r="Q181" s="14">
        <f t="shared" si="181"/>
        <v>-0.14974801044249325</v>
      </c>
      <c r="R181" s="1">
        <f t="shared" si="156"/>
        <v>0.75028154143820303</v>
      </c>
      <c r="S181" s="1">
        <f t="shared" si="157"/>
        <v>0.20277923968783965</v>
      </c>
      <c r="T181" s="1">
        <f t="shared" si="158"/>
        <v>80.801777358258761</v>
      </c>
      <c r="U181" s="1">
        <f t="shared" si="159"/>
        <v>14.067236481003132</v>
      </c>
      <c r="V181" s="1">
        <f t="shared" si="182"/>
        <v>0.10552885374671028</v>
      </c>
      <c r="W181" s="1">
        <f t="shared" si="160"/>
        <v>80.801777358258761</v>
      </c>
      <c r="X181" s="1">
        <f t="shared" si="161"/>
        <v>14.067236481003132</v>
      </c>
      <c r="Z181" s="14">
        <f t="shared" si="183"/>
        <v>1.7157556174466344</v>
      </c>
      <c r="AA181" s="14">
        <f t="shared" si="162"/>
        <v>7.6101643718104377</v>
      </c>
      <c r="AB181" s="14">
        <f t="shared" si="163"/>
        <v>9.105745535977432</v>
      </c>
      <c r="AC181" s="14">
        <f t="shared" si="184"/>
        <v>-1.3153444968077206</v>
      </c>
      <c r="AD181" s="14">
        <f t="shared" si="185"/>
        <v>9.010242539504171</v>
      </c>
      <c r="AE181" s="14">
        <f t="shared" si="186"/>
        <v>1.7126043285194226</v>
      </c>
      <c r="AF181" s="14">
        <f t="shared" si="164"/>
        <v>9.1496760835666819</v>
      </c>
      <c r="AG181" s="14">
        <f t="shared" si="187"/>
        <v>0.1055288537467165</v>
      </c>
      <c r="AH181" s="14">
        <f t="shared" si="165"/>
        <v>0.76098036416353609</v>
      </c>
      <c r="AI181" s="14">
        <f t="shared" si="166"/>
        <v>0.93764456843363386</v>
      </c>
      <c r="AJ181" s="14">
        <f t="shared" si="167"/>
        <v>-0.13023295074057542</v>
      </c>
      <c r="AK181" s="14">
        <f t="shared" si="188"/>
        <v>0.89767272989086355</v>
      </c>
      <c r="AL181" s="14">
        <f t="shared" si="189"/>
        <v>0.80095220270630618</v>
      </c>
      <c r="AM181" s="14">
        <f t="shared" si="190"/>
        <v>0.15004982857906393</v>
      </c>
      <c r="AN181" s="1">
        <f t="shared" si="168"/>
        <v>-0.75015398758196306</v>
      </c>
      <c r="AO181" s="1">
        <f t="shared" si="169"/>
        <v>0.2025056995604034</v>
      </c>
      <c r="AP181" s="1">
        <f t="shared" si="170"/>
        <v>80.77737844288113</v>
      </c>
      <c r="AQ181" s="1">
        <f t="shared" si="171"/>
        <v>14.087709601901986</v>
      </c>
      <c r="AR181" s="1">
        <f t="shared" si="191"/>
        <v>0.1055288537467165</v>
      </c>
      <c r="AS181" s="1">
        <f t="shared" si="172"/>
        <v>80.77737844288113</v>
      </c>
      <c r="AT181" s="1">
        <f t="shared" si="173"/>
        <v>14.087709601901986</v>
      </c>
    </row>
    <row r="182" spans="1:46" x14ac:dyDescent="0.25">
      <c r="A182" s="14">
        <f t="shared" si="192"/>
        <v>5.5152404363020686</v>
      </c>
      <c r="B182" s="14">
        <f t="shared" si="148"/>
        <v>3.596699001693211</v>
      </c>
      <c r="C182" s="14">
        <f t="shared" si="149"/>
        <v>-3.4732918522950329</v>
      </c>
      <c r="D182" s="14">
        <f t="shared" si="174"/>
        <v>1.4321396139975673</v>
      </c>
      <c r="E182" s="14">
        <f t="shared" si="150"/>
        <v>7.7156932255568949</v>
      </c>
      <c r="F182" s="14">
        <f t="shared" si="151"/>
        <v>9.1941243166983888</v>
      </c>
      <c r="G182" s="14">
        <f t="shared" si="175"/>
        <v>1.2707460760739051</v>
      </c>
      <c r="H182" s="14">
        <f t="shared" si="176"/>
        <v>9.105884161411641</v>
      </c>
      <c r="I182" s="14">
        <f t="shared" si="177"/>
        <v>1.4352909029247791</v>
      </c>
      <c r="J182" s="14">
        <f t="shared" si="152"/>
        <v>9.2390987061203944</v>
      </c>
      <c r="K182" s="14">
        <f t="shared" si="178"/>
        <v>0.10760173633924897</v>
      </c>
      <c r="L182" s="14">
        <f t="shared" si="153"/>
        <v>0.77142621904671682</v>
      </c>
      <c r="M182" s="14">
        <f t="shared" si="154"/>
        <v>0.93351574464626497</v>
      </c>
      <c r="N182" s="14">
        <f t="shared" si="155"/>
        <v>0.12446911130406847</v>
      </c>
      <c r="O182" s="14">
        <f t="shared" si="179"/>
        <v>0.89723660505212044</v>
      </c>
      <c r="P182" s="14">
        <f t="shared" si="180"/>
        <v>0.80770535864086124</v>
      </c>
      <c r="Q182" s="14">
        <f t="shared" si="181"/>
        <v>-0.1416222165661441</v>
      </c>
      <c r="R182" s="1">
        <f t="shared" si="156"/>
        <v>0.75332038698401527</v>
      </c>
      <c r="S182" s="1">
        <f t="shared" si="157"/>
        <v>0.21299771697616174</v>
      </c>
      <c r="T182" s="1">
        <f t="shared" si="158"/>
        <v>83.149979663067995</v>
      </c>
      <c r="U182" s="1">
        <f t="shared" si="159"/>
        <v>13.485237422499548</v>
      </c>
      <c r="V182" s="1">
        <f t="shared" si="182"/>
        <v>0.10760173633924897</v>
      </c>
      <c r="W182" s="1">
        <f t="shared" si="160"/>
        <v>83.149979663067995</v>
      </c>
      <c r="X182" s="1">
        <f t="shared" si="161"/>
        <v>13.485237422499548</v>
      </c>
      <c r="Z182" s="14">
        <f t="shared" si="183"/>
        <v>1.7094530395922105</v>
      </c>
      <c r="AA182" s="14">
        <f t="shared" si="162"/>
        <v>7.7156932255571542</v>
      </c>
      <c r="AB182" s="14">
        <f t="shared" si="163"/>
        <v>9.1941243166986055</v>
      </c>
      <c r="AC182" s="14">
        <f t="shared" si="184"/>
        <v>-1.2707460760737943</v>
      </c>
      <c r="AD182" s="14">
        <f t="shared" si="185"/>
        <v>9.1058841614118755</v>
      </c>
      <c r="AE182" s="14">
        <f t="shared" si="186"/>
        <v>1.7063017506649985</v>
      </c>
      <c r="AF182" s="14">
        <f t="shared" si="164"/>
        <v>9.2390987061206182</v>
      </c>
      <c r="AG182" s="14">
        <f t="shared" si="187"/>
        <v>0.10760173633925429</v>
      </c>
      <c r="AH182" s="14">
        <f t="shared" si="165"/>
        <v>0.77142621904674258</v>
      </c>
      <c r="AI182" s="14">
        <f t="shared" si="166"/>
        <v>0.93351574464625475</v>
      </c>
      <c r="AJ182" s="14">
        <f t="shared" si="167"/>
        <v>-0.12446911130405409</v>
      </c>
      <c r="AK182" s="14">
        <f t="shared" si="188"/>
        <v>0.89723660505211922</v>
      </c>
      <c r="AL182" s="14">
        <f t="shared" si="189"/>
        <v>0.80770535864087811</v>
      </c>
      <c r="AM182" s="14">
        <f t="shared" si="190"/>
        <v>0.14190154073964639</v>
      </c>
      <c r="AN182" s="1">
        <f t="shared" si="168"/>
        <v>-0.75320233948734649</v>
      </c>
      <c r="AO182" s="1">
        <f t="shared" si="169"/>
        <v>0.21274456330261626</v>
      </c>
      <c r="AP182" s="1">
        <f t="shared" si="170"/>
        <v>83.126955610490469</v>
      </c>
      <c r="AQ182" s="1">
        <f t="shared" si="171"/>
        <v>13.504556896529145</v>
      </c>
      <c r="AR182" s="1">
        <f t="shared" si="191"/>
        <v>0.10760173633925429</v>
      </c>
      <c r="AS182" s="1">
        <f t="shared" si="172"/>
        <v>83.126955610490469</v>
      </c>
      <c r="AT182" s="1">
        <f t="shared" si="173"/>
        <v>13.504556896529145</v>
      </c>
    </row>
    <row r="183" spans="1:46" x14ac:dyDescent="0.25">
      <c r="A183" s="14">
        <f t="shared" si="192"/>
        <v>5.5501470213419548</v>
      </c>
      <c r="B183" s="14">
        <f t="shared" si="148"/>
        <v>3.7157241273869266</v>
      </c>
      <c r="C183" s="14">
        <f t="shared" si="149"/>
        <v>-3.34565303179434</v>
      </c>
      <c r="D183" s="14">
        <f t="shared" si="174"/>
        <v>1.4384421918519912</v>
      </c>
      <c r="E183" s="14">
        <f t="shared" si="150"/>
        <v>7.8232949618961438</v>
      </c>
      <c r="F183" s="14">
        <f t="shared" si="151"/>
        <v>9.2846079109906192</v>
      </c>
      <c r="G183" s="14">
        <f t="shared" si="175"/>
        <v>1.2252716173019307</v>
      </c>
      <c r="H183" s="14">
        <f t="shared" si="176"/>
        <v>9.2034044529545636</v>
      </c>
      <c r="I183" s="14">
        <f t="shared" si="177"/>
        <v>1.4415934807792032</v>
      </c>
      <c r="J183" s="14">
        <f t="shared" si="152"/>
        <v>9.3306607841240492</v>
      </c>
      <c r="K183" s="14">
        <f t="shared" si="178"/>
        <v>0.10974510563153306</v>
      </c>
      <c r="L183" s="14">
        <f t="shared" si="153"/>
        <v>0.78190499009717129</v>
      </c>
      <c r="M183" s="14">
        <f t="shared" si="154"/>
        <v>0.9294265833584856</v>
      </c>
      <c r="N183" s="14">
        <f t="shared" si="155"/>
        <v>0.11867958022181903</v>
      </c>
      <c r="O183" s="14">
        <f t="shared" si="179"/>
        <v>0.896650301880902</v>
      </c>
      <c r="P183" s="14">
        <f t="shared" si="180"/>
        <v>0.81468127157475478</v>
      </c>
      <c r="Q183" s="14">
        <f t="shared" si="181"/>
        <v>-0.13358805110818792</v>
      </c>
      <c r="R183" s="1">
        <f t="shared" si="156"/>
        <v>0.75618440089475425</v>
      </c>
      <c r="S183" s="1">
        <f t="shared" si="157"/>
        <v>0.22322729189122487</v>
      </c>
      <c r="T183" s="1">
        <f t="shared" si="158"/>
        <v>85.565596558637338</v>
      </c>
      <c r="U183" s="1">
        <f t="shared" si="159"/>
        <v>12.869227342854227</v>
      </c>
      <c r="V183" s="1">
        <f t="shared" si="182"/>
        <v>0.10974510563153306</v>
      </c>
      <c r="W183" s="1">
        <f t="shared" si="160"/>
        <v>85.565596558637338</v>
      </c>
      <c r="X183" s="1">
        <f t="shared" si="161"/>
        <v>12.869227342854227</v>
      </c>
      <c r="Z183" s="14">
        <f t="shared" si="183"/>
        <v>1.7031504617377866</v>
      </c>
      <c r="AA183" s="14">
        <f t="shared" si="162"/>
        <v>7.8232949618964085</v>
      </c>
      <c r="AB183" s="14">
        <f t="shared" si="163"/>
        <v>9.2846079109908413</v>
      </c>
      <c r="AC183" s="14">
        <f t="shared" si="184"/>
        <v>-1.2252716173018177</v>
      </c>
      <c r="AD183" s="14">
        <f t="shared" si="185"/>
        <v>9.2034044529548034</v>
      </c>
      <c r="AE183" s="14">
        <f t="shared" si="186"/>
        <v>1.6999991728105748</v>
      </c>
      <c r="AF183" s="14">
        <f t="shared" si="164"/>
        <v>9.3306607841242712</v>
      </c>
      <c r="AG183" s="14">
        <f t="shared" si="187"/>
        <v>0.10974510563153839</v>
      </c>
      <c r="AH183" s="14">
        <f t="shared" si="165"/>
        <v>0.7819049900971965</v>
      </c>
      <c r="AI183" s="14">
        <f t="shared" si="166"/>
        <v>0.92942658335847605</v>
      </c>
      <c r="AJ183" s="14">
        <f t="shared" si="167"/>
        <v>-0.11867958022180504</v>
      </c>
      <c r="AK183" s="14">
        <f t="shared" si="188"/>
        <v>0.89665030188090067</v>
      </c>
      <c r="AL183" s="14">
        <f t="shared" si="189"/>
        <v>0.81468127157477188</v>
      </c>
      <c r="AM183" s="14">
        <f t="shared" si="190"/>
        <v>0.13384370427957354</v>
      </c>
      <c r="AN183" s="1">
        <f t="shared" si="168"/>
        <v>-0.75607635719585364</v>
      </c>
      <c r="AO183" s="1">
        <f t="shared" si="169"/>
        <v>0.22299559143122474</v>
      </c>
      <c r="AP183" s="1">
        <f t="shared" si="170"/>
        <v>85.544103891542321</v>
      </c>
      <c r="AQ183" s="1">
        <f t="shared" si="171"/>
        <v>12.887261831890202</v>
      </c>
      <c r="AR183" s="1">
        <f t="shared" si="191"/>
        <v>0.10974510563153839</v>
      </c>
      <c r="AS183" s="1">
        <f t="shared" si="172"/>
        <v>85.544103891542321</v>
      </c>
      <c r="AT183" s="1">
        <f t="shared" si="173"/>
        <v>12.887261831890202</v>
      </c>
    </row>
    <row r="184" spans="1:46" x14ac:dyDescent="0.25">
      <c r="A184" s="14">
        <f t="shared" si="192"/>
        <v>5.585053606381841</v>
      </c>
      <c r="B184" s="14">
        <f t="shared" ref="B184:B204" si="193">R_*COS(A184)</f>
        <v>3.830222215594846</v>
      </c>
      <c r="C184" s="14">
        <f t="shared" ref="C184:C204" si="194">R_*SIN(A184)</f>
        <v>-3.2139380484327491</v>
      </c>
      <c r="D184" s="14">
        <f t="shared" si="174"/>
        <v>1.4447447697064151</v>
      </c>
      <c r="E184" s="14">
        <f t="shared" ref="E184:E204" si="195">R_*SIN(D184-θ1+θ0)/COS(α1-D184-θ0)</f>
        <v>7.9330400675276769</v>
      </c>
      <c r="F184" s="14">
        <f t="shared" ref="F184:F204" si="196">R_*SIN(PI()/2-α1+θ1)/SIN(PI()/2+α1-D184-θ0)</f>
        <v>9.3772663774150917</v>
      </c>
      <c r="G184" s="14">
        <f t="shared" si="175"/>
        <v>1.1788913315253828</v>
      </c>
      <c r="H184" s="14">
        <f t="shared" si="176"/>
        <v>9.302867296777583</v>
      </c>
      <c r="I184" s="14">
        <f t="shared" si="177"/>
        <v>1.4478960586336269</v>
      </c>
      <c r="J184" s="14">
        <f t="shared" ref="J184:J203" si="197">R_*SIN(PI()/2-α1+θ1)/SIN(PI()/2+α1-I184)</f>
        <v>9.4244339474435179</v>
      </c>
      <c r="K184" s="14">
        <f t="shared" si="178"/>
        <v>0.11196214553813366</v>
      </c>
      <c r="L184" s="14">
        <f t="shared" ref="L184:L203" si="198">p/2*(1+k)*(1-(R_/J184)^2)-p/2*(1-k)*(1-4*(R_/J184)^2+3*(R_/J184)^4)*COS(2*I184)</f>
        <v>0.79241218954065862</v>
      </c>
      <c r="M184" s="14">
        <f t="shared" ref="M184:M203" si="199">p/2*(1+k)*(1+(R_/J184)^2)+p/2*(1-k)*(1+3*(R_/J184)^4)*COS(2*I184)</f>
        <v>0.92537641126797154</v>
      </c>
      <c r="N184" s="14">
        <f t="shared" ref="N184:N203" si="200">p/2*(1-k)*(1+2*(R_/J184)^2-3*(R_/J184)^4)*SIN(2*I184)</f>
        <v>0.11286805310008258</v>
      </c>
      <c r="O184" s="14">
        <f t="shared" si="179"/>
        <v>0.89591363965795212</v>
      </c>
      <c r="P184" s="14">
        <f t="shared" si="180"/>
        <v>0.82187496115067793</v>
      </c>
      <c r="Q184" s="14">
        <f t="shared" si="181"/>
        <v>-0.12565284317004008</v>
      </c>
      <c r="R184" s="1">
        <f t="shared" ref="R184:R203" si="201">nx1_*O184+ny1_*Q184</f>
        <v>0.7588703219710502</v>
      </c>
      <c r="S184" s="1">
        <f t="shared" ref="S184:S203" si="202">nx1_*Q184+ny1_*P184</f>
        <v>0.23345921722140214</v>
      </c>
      <c r="T184" s="1">
        <f t="shared" ref="T184:T203" si="203">(R184*nx1_+S184*ny1_)*K184*1000</f>
        <v>88.05086155711632</v>
      </c>
      <c r="U184" s="1">
        <f t="shared" ref="U184:U203" si="204">(R184*mx1_+S184*my1_)*K184*1000</f>
        <v>12.218042654675209</v>
      </c>
      <c r="V184" s="1">
        <f t="shared" si="182"/>
        <v>0.11196214553813366</v>
      </c>
      <c r="W184" s="1">
        <f t="shared" ref="W184:W203" si="205">IF(-T184&gt;=σt*K184,0,T184)</f>
        <v>88.05086155711632</v>
      </c>
      <c r="X184" s="1">
        <f t="shared" ref="X184:X203" si="206">IF(-T184&gt;=σt*K184,0,SIGN(U184)*IF(T184&lt;0,MIN(ABS(U184),c_*K184),MIN(ABS(U184),c_*K184+T184*TAN(φ))))</f>
        <v>12.218042654675209</v>
      </c>
      <c r="Z184" s="14">
        <f t="shared" si="183"/>
        <v>1.6968478838833627</v>
      </c>
      <c r="AA184" s="14">
        <f t="shared" ref="AA184:AA204" si="207">R_*SIN(PI()-Z184-θ2-θ0)/COS(α2-PI()+Z184+θ0)</f>
        <v>7.9330400675279469</v>
      </c>
      <c r="AB184" s="14">
        <f t="shared" ref="AB184:AB204" si="208">R_*SIN(PI()/2-α2+θ2)/SIN(PI()/2+α2-PI()+Z184+θ0)</f>
        <v>9.3772663774153191</v>
      </c>
      <c r="AC184" s="14">
        <f t="shared" si="184"/>
        <v>-1.1788913315252678</v>
      </c>
      <c r="AD184" s="14">
        <f t="shared" si="185"/>
        <v>9.3028672967778281</v>
      </c>
      <c r="AE184" s="14">
        <f t="shared" si="186"/>
        <v>1.6936965949561507</v>
      </c>
      <c r="AF184" s="14">
        <f t="shared" ref="AF184:AF203" si="209">R_*SIN(PI()/2-α2+θ2)/SIN(PI()/2+α2-PI()+AE184)</f>
        <v>9.4244339474437524</v>
      </c>
      <c r="AG184" s="14">
        <f t="shared" si="187"/>
        <v>0.11196214553813899</v>
      </c>
      <c r="AH184" s="14">
        <f t="shared" ref="AH184:AH203" si="210">p/2*(1+k)*(1-(R_/AF184)^2)-p/2*(1-k)*(1-4*(R_/AF184)^2+3*(R_/AF184)^4)*COS(2*AE184)</f>
        <v>0.79241218954068482</v>
      </c>
      <c r="AI184" s="14">
        <f t="shared" ref="AI184:AI203" si="211">p/2*(1+k)*(1+(R_/AF184)^2)+p/2*(1-k)*(1+3*(R_/AF184)^4)*COS(2*AE184)</f>
        <v>0.92537641126796166</v>
      </c>
      <c r="AJ184" s="14">
        <f t="shared" ref="AJ184:AJ203" si="212">p/2*(1-k)*(1+2*(R_/AF184)^2-3*(R_/AF184)^4)*SIN(2*AE184)</f>
        <v>-0.11286805310006809</v>
      </c>
      <c r="AK184" s="14">
        <f t="shared" si="188"/>
        <v>0.89591363965795046</v>
      </c>
      <c r="AL184" s="14">
        <f t="shared" si="189"/>
        <v>0.82187496115069614</v>
      </c>
      <c r="AM184" s="14">
        <f t="shared" si="190"/>
        <v>0.12588366327963979</v>
      </c>
      <c r="AN184" s="1">
        <f t="shared" ref="AN184:AN203" si="213">nx2_*AK184+ny2_*AM184</f>
        <v>-0.75877277317755476</v>
      </c>
      <c r="AO184" s="1">
        <f t="shared" ref="AO184:AO203" si="214">nx2_*AM184+ny2_*AL184</f>
        <v>0.23325002315867499</v>
      </c>
      <c r="AP184" s="1">
        <f t="shared" ref="AP184:AP203" si="215">(AN184*nx2_+AO184*ny2_)*AG184*1000</f>
        <v>88.031064582708723</v>
      </c>
      <c r="AQ184" s="1">
        <f t="shared" ref="AQ184:AQ203" si="216">(AN184*mx2_+AO184*my2_)*AG184*1000</f>
        <v>12.234654288602457</v>
      </c>
      <c r="AR184" s="1">
        <f t="shared" si="191"/>
        <v>0.11196214553813899</v>
      </c>
      <c r="AS184" s="1">
        <f t="shared" ref="AS184:AS203" si="217">IF(-AP184&gt;=σt*AG184,0,AP184)</f>
        <v>88.031064582708723</v>
      </c>
      <c r="AT184" s="1">
        <f t="shared" ref="AT184:AT203" si="218">IF(-AP184&gt;=σt*AG184,0,SIGN(AQ184)*IF(AP184&lt;0,MIN(ABS(AQ184),c_*AG184),MIN(ABS(AQ184),c_*AG184+AP184*TAN(φ))))</f>
        <v>12.234654288602457</v>
      </c>
    </row>
    <row r="185" spans="1:46" x14ac:dyDescent="0.25">
      <c r="A185" s="14">
        <f t="shared" si="192"/>
        <v>5.6199601914217272</v>
      </c>
      <c r="B185" s="14">
        <f t="shared" si="193"/>
        <v>3.9400537680335668</v>
      </c>
      <c r="C185" s="14">
        <f t="shared" si="194"/>
        <v>-3.0783073766283469</v>
      </c>
      <c r="D185" s="14">
        <f t="shared" ref="D185:D204" si="219">D184+(PI()/2-θ1)/180</f>
        <v>1.451047347560839</v>
      </c>
      <c r="E185" s="14">
        <f t="shared" si="195"/>
        <v>8.0450022130658105</v>
      </c>
      <c r="F185" s="14">
        <f t="shared" si="196"/>
        <v>9.4721729612710206</v>
      </c>
      <c r="G185" s="14">
        <f t="shared" si="175"/>
        <v>1.1315740841972974</v>
      </c>
      <c r="H185" s="14">
        <f t="shared" si="176"/>
        <v>9.4043394611321247</v>
      </c>
      <c r="I185" s="14">
        <f t="shared" si="177"/>
        <v>1.454198636488051</v>
      </c>
      <c r="J185" s="14">
        <f t="shared" si="197"/>
        <v>9.5204931024360189</v>
      </c>
      <c r="K185" s="14">
        <f t="shared" si="178"/>
        <v>0.11425622257809742</v>
      </c>
      <c r="L185" s="14">
        <f t="shared" si="198"/>
        <v>0.80294323287718328</v>
      </c>
      <c r="M185" s="14">
        <f t="shared" si="199"/>
        <v>0.92136466020486529</v>
      </c>
      <c r="N185" s="14">
        <f t="shared" si="200"/>
        <v>0.10703818571637314</v>
      </c>
      <c r="O185" s="14">
        <f t="shared" si="179"/>
        <v>0.8950268046097829</v>
      </c>
      <c r="P185" s="14">
        <f t="shared" si="180"/>
        <v>0.82928108847226578</v>
      </c>
      <c r="Q185" s="14">
        <f t="shared" si="181"/>
        <v>-0.11782383891397108</v>
      </c>
      <c r="R185" s="1">
        <f t="shared" si="201"/>
        <v>0.76137525663093786</v>
      </c>
      <c r="S185" s="1">
        <f t="shared" si="202"/>
        <v>0.2436846693983003</v>
      </c>
      <c r="T185" s="1">
        <f t="shared" si="203"/>
        <v>90.608145492785283</v>
      </c>
      <c r="U185" s="1">
        <f t="shared" si="204"/>
        <v>11.530483651956569</v>
      </c>
      <c r="V185" s="1">
        <f t="shared" si="182"/>
        <v>0.11425622257809742</v>
      </c>
      <c r="W185" s="1">
        <f t="shared" si="205"/>
        <v>90.608145492785283</v>
      </c>
      <c r="X185" s="1">
        <f t="shared" si="206"/>
        <v>11.530483651956569</v>
      </c>
      <c r="Z185" s="14">
        <f t="shared" ref="Z185:Z204" si="220">Z184-(PI()/2-θ2)/180</f>
        <v>1.6905453060289388</v>
      </c>
      <c r="AA185" s="14">
        <f t="shared" si="207"/>
        <v>8.0450022130660859</v>
      </c>
      <c r="AB185" s="14">
        <f t="shared" si="208"/>
        <v>9.4721729612712551</v>
      </c>
      <c r="AC185" s="14">
        <f t="shared" si="184"/>
        <v>-1.1315740841971802</v>
      </c>
      <c r="AD185" s="14">
        <f t="shared" si="185"/>
        <v>9.4043394611323752</v>
      </c>
      <c r="AE185" s="14">
        <f t="shared" si="186"/>
        <v>1.687394017101727</v>
      </c>
      <c r="AF185" s="14">
        <f t="shared" si="209"/>
        <v>9.5204931024362534</v>
      </c>
      <c r="AG185" s="14">
        <f t="shared" si="187"/>
        <v>0.11425622257810275</v>
      </c>
      <c r="AH185" s="14">
        <f t="shared" si="210"/>
        <v>0.80294323287720859</v>
      </c>
      <c r="AI185" s="14">
        <f t="shared" si="211"/>
        <v>0.92136466020485575</v>
      </c>
      <c r="AJ185" s="14">
        <f t="shared" si="212"/>
        <v>-0.10703818571635904</v>
      </c>
      <c r="AK185" s="14">
        <f t="shared" si="188"/>
        <v>0.89502680460978057</v>
      </c>
      <c r="AL185" s="14">
        <f t="shared" si="189"/>
        <v>0.82928108847228377</v>
      </c>
      <c r="AM185" s="14">
        <f t="shared" si="190"/>
        <v>0.11802868116934398</v>
      </c>
      <c r="AN185" s="1">
        <f t="shared" si="213"/>
        <v>-0.76128868655303894</v>
      </c>
      <c r="AO185" s="1">
        <f t="shared" si="214"/>
        <v>0.24349901926714934</v>
      </c>
      <c r="AP185" s="1">
        <f t="shared" si="215"/>
        <v>90.590216603840958</v>
      </c>
      <c r="AQ185" s="1">
        <f t="shared" si="216"/>
        <v>11.545527776060498</v>
      </c>
      <c r="AR185" s="1">
        <f t="shared" si="191"/>
        <v>0.11425622257810275</v>
      </c>
      <c r="AS185" s="1">
        <f t="shared" si="217"/>
        <v>90.590216603840958</v>
      </c>
      <c r="AT185" s="1">
        <f t="shared" si="218"/>
        <v>11.545527776060498</v>
      </c>
    </row>
    <row r="186" spans="1:46" x14ac:dyDescent="0.25">
      <c r="A186" s="14">
        <f t="shared" si="192"/>
        <v>5.6548667764616134</v>
      </c>
      <c r="B186" s="14">
        <f t="shared" si="193"/>
        <v>4.0450849718746946</v>
      </c>
      <c r="C186" s="14">
        <f t="shared" si="194"/>
        <v>-2.9389262614624241</v>
      </c>
      <c r="D186" s="14">
        <f t="shared" si="219"/>
        <v>1.4573499254152629</v>
      </c>
      <c r="E186" s="14">
        <f t="shared" si="195"/>
        <v>8.159258435643908</v>
      </c>
      <c r="F186" s="14">
        <f t="shared" si="196"/>
        <v>9.5694042771546801</v>
      </c>
      <c r="G186" s="14">
        <f t="shared" si="175"/>
        <v>1.0832873180182843</v>
      </c>
      <c r="H186" s="14">
        <f t="shared" si="176"/>
        <v>9.5078907653720464</v>
      </c>
      <c r="I186" s="14">
        <f t="shared" si="177"/>
        <v>1.4605012143424747</v>
      </c>
      <c r="J186" s="14">
        <f t="shared" si="197"/>
        <v>9.6189166207364529</v>
      </c>
      <c r="K186" s="14">
        <f t="shared" si="178"/>
        <v>0.11663089857882447</v>
      </c>
      <c r="L186" s="14">
        <f t="shared" si="198"/>
        <v>0.81349344295793558</v>
      </c>
      <c r="M186" s="14">
        <f t="shared" si="199"/>
        <v>0.91739086649615686</v>
      </c>
      <c r="N186" s="14">
        <f t="shared" si="200"/>
        <v>0.10119358969267499</v>
      </c>
      <c r="O186" s="14">
        <f t="shared" si="179"/>
        <v>0.89399034748630524</v>
      </c>
      <c r="P186" s="14">
        <f t="shared" si="180"/>
        <v>0.83689396196778731</v>
      </c>
      <c r="Q186" s="14">
        <f t="shared" si="181"/>
        <v>-0.11010818289091771</v>
      </c>
      <c r="R186" s="1">
        <f t="shared" si="201"/>
        <v>0.76369668460565232</v>
      </c>
      <c r="S186" s="1">
        <f t="shared" si="202"/>
        <v>0.25389476789761894</v>
      </c>
      <c r="T186" s="1">
        <f t="shared" si="203"/>
        <v>93.239967448584665</v>
      </c>
      <c r="U186" s="1">
        <f t="shared" si="204"/>
        <v>10.805311598986478</v>
      </c>
      <c r="V186" s="1">
        <f t="shared" si="182"/>
        <v>0.11663089857882447</v>
      </c>
      <c r="W186" s="1">
        <f t="shared" si="205"/>
        <v>93.239967448584665</v>
      </c>
      <c r="X186" s="1">
        <f t="shared" si="206"/>
        <v>10.805311598986478</v>
      </c>
      <c r="Z186" s="14">
        <f t="shared" si="220"/>
        <v>1.6842427281745149</v>
      </c>
      <c r="AA186" s="14">
        <f t="shared" si="207"/>
        <v>8.1592584356441886</v>
      </c>
      <c r="AB186" s="14">
        <f t="shared" si="208"/>
        <v>9.5694042771549181</v>
      </c>
      <c r="AC186" s="14">
        <f t="shared" si="184"/>
        <v>-1.0832873180181644</v>
      </c>
      <c r="AD186" s="14">
        <f t="shared" si="185"/>
        <v>9.5078907653723004</v>
      </c>
      <c r="AE186" s="14">
        <f t="shared" si="186"/>
        <v>1.6810914392473029</v>
      </c>
      <c r="AF186" s="14">
        <f t="shared" si="209"/>
        <v>9.6189166207366981</v>
      </c>
      <c r="AG186" s="14">
        <f t="shared" si="187"/>
        <v>0.11663089857883335</v>
      </c>
      <c r="AH186" s="14">
        <f t="shared" si="210"/>
        <v>0.81349344295796155</v>
      </c>
      <c r="AI186" s="14">
        <f t="shared" si="211"/>
        <v>0.91739086649614709</v>
      </c>
      <c r="AJ186" s="14">
        <f t="shared" si="212"/>
        <v>-0.10119358969266047</v>
      </c>
      <c r="AK186" s="14">
        <f t="shared" si="188"/>
        <v>0.89399034748630235</v>
      </c>
      <c r="AL186" s="14">
        <f t="shared" si="189"/>
        <v>0.83689396196780608</v>
      </c>
      <c r="AM186" s="14">
        <f t="shared" si="190"/>
        <v>0.11028592202895032</v>
      </c>
      <c r="AN186" s="1">
        <f t="shared" si="213"/>
        <v>-0.76362156880009113</v>
      </c>
      <c r="AO186" s="1">
        <f t="shared" si="214"/>
        <v>0.25373368153276676</v>
      </c>
      <c r="AP186" s="1">
        <f t="shared" si="215"/>
        <v>93.22408744274945</v>
      </c>
      <c r="AQ186" s="1">
        <f t="shared" si="216"/>
        <v>10.818636506031828</v>
      </c>
      <c r="AR186" s="1">
        <f t="shared" si="191"/>
        <v>0.11663089857883335</v>
      </c>
      <c r="AS186" s="1">
        <f t="shared" si="217"/>
        <v>93.22408744274945</v>
      </c>
      <c r="AT186" s="1">
        <f t="shared" si="218"/>
        <v>10.818636506031828</v>
      </c>
    </row>
    <row r="187" spans="1:46" x14ac:dyDescent="0.25">
      <c r="A187" s="14">
        <f t="shared" si="192"/>
        <v>5.6897733615014996</v>
      </c>
      <c r="B187" s="14">
        <f t="shared" si="193"/>
        <v>4.1451878627751668</v>
      </c>
      <c r="C187" s="14">
        <f t="shared" si="194"/>
        <v>-2.7959645173537955</v>
      </c>
      <c r="D187" s="14">
        <f t="shared" si="219"/>
        <v>1.4636525032696868</v>
      </c>
      <c r="E187" s="14">
        <f t="shared" si="195"/>
        <v>8.2758893342227324</v>
      </c>
      <c r="F187" s="14">
        <f t="shared" si="196"/>
        <v>9.6690405042228278</v>
      </c>
      <c r="G187" s="14">
        <f t="shared" si="175"/>
        <v>1.0339969703956446</v>
      </c>
      <c r="H187" s="14">
        <f t="shared" si="176"/>
        <v>9.6135942569631183</v>
      </c>
      <c r="I187" s="14">
        <f t="shared" si="177"/>
        <v>1.4668037921968988</v>
      </c>
      <c r="J187" s="14">
        <f t="shared" si="197"/>
        <v>9.7197865412584186</v>
      </c>
      <c r="K187" s="14">
        <f t="shared" si="178"/>
        <v>0.11908994442337573</v>
      </c>
      <c r="L187" s="14">
        <f t="shared" si="198"/>
        <v>0.8240580542083652</v>
      </c>
      <c r="M187" s="14">
        <f t="shared" si="199"/>
        <v>0.91345467016825288</v>
      </c>
      <c r="N187" s="14">
        <f t="shared" si="200"/>
        <v>9.5337828263556995E-2</v>
      </c>
      <c r="O187" s="14">
        <f t="shared" si="179"/>
        <v>0.89280518017510246</v>
      </c>
      <c r="P187" s="14">
        <f t="shared" si="180"/>
        <v>0.84470754420151573</v>
      </c>
      <c r="Q187" s="14">
        <f t="shared" si="181"/>
        <v>-0.10251289961619212</v>
      </c>
      <c r="R187" s="1">
        <f t="shared" si="201"/>
        <v>0.76583246365756064</v>
      </c>
      <c r="S187" s="1">
        <f t="shared" si="202"/>
        <v>0.26408059481583829</v>
      </c>
      <c r="T187" s="1">
        <f t="shared" si="203"/>
        <v>95.949006562335299</v>
      </c>
      <c r="U187" s="1">
        <f t="shared" si="204"/>
        <v>10.041245523186602</v>
      </c>
      <c r="V187" s="1">
        <f t="shared" si="182"/>
        <v>0.11908994442337573</v>
      </c>
      <c r="W187" s="1">
        <f t="shared" si="205"/>
        <v>95.949006562335299</v>
      </c>
      <c r="X187" s="1">
        <f t="shared" si="206"/>
        <v>10.041245523186602</v>
      </c>
      <c r="Z187" s="14">
        <f t="shared" si="220"/>
        <v>1.677940150320091</v>
      </c>
      <c r="AA187" s="14">
        <f t="shared" si="207"/>
        <v>8.275889334223022</v>
      </c>
      <c r="AB187" s="14">
        <f t="shared" si="208"/>
        <v>9.6690405042230712</v>
      </c>
      <c r="AC187" s="14">
        <f t="shared" si="184"/>
        <v>-1.0339969703955223</v>
      </c>
      <c r="AD187" s="14">
        <f t="shared" si="185"/>
        <v>9.6135942569633759</v>
      </c>
      <c r="AE187" s="14">
        <f t="shared" si="186"/>
        <v>1.6747888613928792</v>
      </c>
      <c r="AF187" s="14">
        <f t="shared" si="209"/>
        <v>9.7197865412586637</v>
      </c>
      <c r="AG187" s="14">
        <f t="shared" si="187"/>
        <v>0.11908994442337928</v>
      </c>
      <c r="AH187" s="14">
        <f t="shared" si="210"/>
        <v>0.82405805420839062</v>
      </c>
      <c r="AI187" s="14">
        <f t="shared" si="211"/>
        <v>0.91345467016824355</v>
      </c>
      <c r="AJ187" s="14">
        <f t="shared" si="212"/>
        <v>-9.5337828263542826E-2</v>
      </c>
      <c r="AK187" s="14">
        <f t="shared" si="188"/>
        <v>0.89280518017509958</v>
      </c>
      <c r="AL187" s="14">
        <f t="shared" si="189"/>
        <v>0.84470754420153471</v>
      </c>
      <c r="AM187" s="14">
        <f t="shared" si="190"/>
        <v>0.10266243213343842</v>
      </c>
      <c r="AN187" s="1">
        <f t="shared" si="213"/>
        <v>-0.76576926848504578</v>
      </c>
      <c r="AO187" s="1">
        <f t="shared" si="214"/>
        <v>0.26394507233105086</v>
      </c>
      <c r="AP187" s="1">
        <f t="shared" si="215"/>
        <v>95.935364981420307</v>
      </c>
      <c r="AQ187" s="1">
        <f t="shared" si="216"/>
        <v>10.052692168702865</v>
      </c>
      <c r="AR187" s="1">
        <f t="shared" si="191"/>
        <v>0.11908994442337928</v>
      </c>
      <c r="AS187" s="1">
        <f t="shared" si="217"/>
        <v>95.935364981420307</v>
      </c>
      <c r="AT187" s="1">
        <f t="shared" si="218"/>
        <v>10.052692168702865</v>
      </c>
    </row>
    <row r="188" spans="1:46" x14ac:dyDescent="0.25">
      <c r="A188" s="14">
        <f t="shared" si="192"/>
        <v>5.7246799465413858</v>
      </c>
      <c r="B188" s="14">
        <f t="shared" si="193"/>
        <v>4.2402404807820897</v>
      </c>
      <c r="C188" s="14">
        <f t="shared" si="194"/>
        <v>-2.6495963211660896</v>
      </c>
      <c r="D188" s="14">
        <f t="shared" si="219"/>
        <v>1.4699550811241107</v>
      </c>
      <c r="E188" s="14">
        <f t="shared" si="195"/>
        <v>8.3949792786461082</v>
      </c>
      <c r="F188" s="14">
        <f t="shared" si="196"/>
        <v>9.7711655952039589</v>
      </c>
      <c r="G188" s="14">
        <f t="shared" si="175"/>
        <v>0.98366738509264129</v>
      </c>
      <c r="H188" s="14">
        <f t="shared" si="176"/>
        <v>9.7215264009517828</v>
      </c>
      <c r="I188" s="14">
        <f t="shared" si="177"/>
        <v>1.4731063700513225</v>
      </c>
      <c r="J188" s="14">
        <f t="shared" si="197"/>
        <v>9.823188786501154</v>
      </c>
      <c r="K188" s="14">
        <f t="shared" si="178"/>
        <v>0.12163735494020145</v>
      </c>
      <c r="L188" s="14">
        <f t="shared" si="198"/>
        <v>0.83463221699220735</v>
      </c>
      <c r="M188" s="14">
        <f t="shared" si="199"/>
        <v>0.90955581399068652</v>
      </c>
      <c r="N188" s="14">
        <f t="shared" si="200"/>
        <v>8.9474412145004789E-2</v>
      </c>
      <c r="O188" s="14">
        <f t="shared" si="179"/>
        <v>0.89147257136642355</v>
      </c>
      <c r="P188" s="14">
        <f t="shared" si="180"/>
        <v>0.85271545961647055</v>
      </c>
      <c r="Q188" s="14">
        <f t="shared" si="181"/>
        <v>-9.5044875441510399E-2</v>
      </c>
      <c r="R188" s="1">
        <f t="shared" si="201"/>
        <v>0.76778083331252289</v>
      </c>
      <c r="S188" s="1">
        <f t="shared" si="202"/>
        <v>0.27423321457196509</v>
      </c>
      <c r="T188" s="1">
        <f t="shared" si="203"/>
        <v>98.738114793714203</v>
      </c>
      <c r="U188" s="1">
        <f t="shared" si="204"/>
        <v>9.2369586846019978</v>
      </c>
      <c r="V188" s="1">
        <f t="shared" si="182"/>
        <v>0.12163735494020145</v>
      </c>
      <c r="W188" s="1">
        <f t="shared" si="205"/>
        <v>98.738114793714203</v>
      </c>
      <c r="X188" s="1">
        <f t="shared" si="206"/>
        <v>9.2369586846019978</v>
      </c>
      <c r="Z188" s="14">
        <f t="shared" si="220"/>
        <v>1.6716375724656671</v>
      </c>
      <c r="AA188" s="14">
        <f t="shared" si="207"/>
        <v>8.3949792786464013</v>
      </c>
      <c r="AB188" s="14">
        <f t="shared" si="208"/>
        <v>9.7711655952042111</v>
      </c>
      <c r="AC188" s="14">
        <f t="shared" si="184"/>
        <v>-0.9836673850925165</v>
      </c>
      <c r="AD188" s="14">
        <f t="shared" si="185"/>
        <v>9.7215264009520492</v>
      </c>
      <c r="AE188" s="14">
        <f t="shared" si="186"/>
        <v>1.6684862835384551</v>
      </c>
      <c r="AF188" s="14">
        <f t="shared" si="209"/>
        <v>9.8231887865014134</v>
      </c>
      <c r="AG188" s="14">
        <f t="shared" si="187"/>
        <v>0.12163735494020678</v>
      </c>
      <c r="AH188" s="14">
        <f t="shared" si="210"/>
        <v>0.83463221699223356</v>
      </c>
      <c r="AI188" s="14">
        <f t="shared" si="211"/>
        <v>0.90955581399067664</v>
      </c>
      <c r="AJ188" s="14">
        <f t="shared" si="212"/>
        <v>-8.9474412144990217E-2</v>
      </c>
      <c r="AK188" s="14">
        <f t="shared" si="188"/>
        <v>0.89147257136641966</v>
      </c>
      <c r="AL188" s="14">
        <f t="shared" si="189"/>
        <v>0.85271545961649053</v>
      </c>
      <c r="AM188" s="14">
        <f t="shared" si="190"/>
        <v>9.516512178682357E-2</v>
      </c>
      <c r="AN188" s="1">
        <f t="shared" si="213"/>
        <v>-0.7677300150110824</v>
      </c>
      <c r="AO188" s="1">
        <f t="shared" si="214"/>
        <v>0.27412423437285355</v>
      </c>
      <c r="AP188" s="1">
        <f t="shared" si="215"/>
        <v>98.72691028497664</v>
      </c>
      <c r="AQ188" s="1">
        <f t="shared" si="216"/>
        <v>9.2463603837541744</v>
      </c>
      <c r="AR188" s="1">
        <f t="shared" si="191"/>
        <v>0.12163735494020678</v>
      </c>
      <c r="AS188" s="1">
        <f t="shared" si="217"/>
        <v>98.72691028497664</v>
      </c>
      <c r="AT188" s="1">
        <f t="shared" si="218"/>
        <v>9.2463603837541744</v>
      </c>
    </row>
    <row r="189" spans="1:46" x14ac:dyDescent="0.25">
      <c r="A189" s="14">
        <f t="shared" si="192"/>
        <v>5.759586531581272</v>
      </c>
      <c r="B189" s="14">
        <f t="shared" si="193"/>
        <v>4.3301270189221537</v>
      </c>
      <c r="C189" s="14">
        <f t="shared" si="194"/>
        <v>-2.5000000000000675</v>
      </c>
      <c r="D189" s="14">
        <f t="shared" si="219"/>
        <v>1.4762576589785346</v>
      </c>
      <c r="E189" s="14">
        <f t="shared" si="195"/>
        <v>8.5166166335863096</v>
      </c>
      <c r="F189" s="14">
        <f t="shared" si="196"/>
        <v>9.8758675002998597</v>
      </c>
      <c r="G189" s="14">
        <f t="shared" si="175"/>
        <v>0.93226121758507752</v>
      </c>
      <c r="H189" s="14">
        <f t="shared" si="176"/>
        <v>9.8317672829286291</v>
      </c>
      <c r="I189" s="14">
        <f t="shared" si="177"/>
        <v>1.4794089479057466</v>
      </c>
      <c r="J189" s="14">
        <f t="shared" si="197"/>
        <v>9.9292133943585785</v>
      </c>
      <c r="K189" s="14">
        <f t="shared" si="178"/>
        <v>0.1242773650452591</v>
      </c>
      <c r="L189" s="14">
        <f t="shared" si="198"/>
        <v>0.84521100211114908</v>
      </c>
      <c r="M189" s="14">
        <f t="shared" si="199"/>
        <v>0.90569414236409873</v>
      </c>
      <c r="N189" s="14">
        <f t="shared" si="200"/>
        <v>8.3606795509583137E-2</v>
      </c>
      <c r="O189" s="14">
        <f t="shared" si="179"/>
        <v>0.88999414128539378</v>
      </c>
      <c r="P189" s="14">
        <f t="shared" si="180"/>
        <v>0.86091100318985381</v>
      </c>
      <c r="Q189" s="14">
        <f t="shared" si="181"/>
        <v>-8.7710840770823098E-2</v>
      </c>
      <c r="R189" s="1">
        <f t="shared" si="201"/>
        <v>0.76954041760156822</v>
      </c>
      <c r="S189" s="1">
        <f t="shared" si="202"/>
        <v>0.28434369368340912</v>
      </c>
      <c r="T189" s="1">
        <f t="shared" si="203"/>
        <v>101.61033074207413</v>
      </c>
      <c r="U189" s="1">
        <f t="shared" si="204"/>
        <v>8.3910746919302639</v>
      </c>
      <c r="V189" s="1">
        <f t="shared" si="182"/>
        <v>0.1242773650452591</v>
      </c>
      <c r="W189" s="1">
        <f t="shared" si="205"/>
        <v>101.61033074207413</v>
      </c>
      <c r="X189" s="1">
        <f t="shared" si="206"/>
        <v>8.3910746919302639</v>
      </c>
      <c r="Z189" s="14">
        <f t="shared" si="220"/>
        <v>1.6653349946112432</v>
      </c>
      <c r="AA189" s="14">
        <f t="shared" si="207"/>
        <v>8.516616633586608</v>
      </c>
      <c r="AB189" s="14">
        <f t="shared" si="208"/>
        <v>9.8758675003001173</v>
      </c>
      <c r="AC189" s="14">
        <f t="shared" si="184"/>
        <v>-0.93226121758494995</v>
      </c>
      <c r="AD189" s="14">
        <f t="shared" si="185"/>
        <v>9.8317672829288991</v>
      </c>
      <c r="AE189" s="14">
        <f t="shared" si="186"/>
        <v>1.6621837056840314</v>
      </c>
      <c r="AF189" s="14">
        <f t="shared" si="209"/>
        <v>9.9292133943588343</v>
      </c>
      <c r="AG189" s="14">
        <f t="shared" si="187"/>
        <v>0.12427736504526621</v>
      </c>
      <c r="AH189" s="14">
        <f t="shared" si="210"/>
        <v>0.84521100211117428</v>
      </c>
      <c r="AI189" s="14">
        <f t="shared" si="211"/>
        <v>0.90569414236408963</v>
      </c>
      <c r="AJ189" s="14">
        <f t="shared" si="212"/>
        <v>-8.3606795509568968E-2</v>
      </c>
      <c r="AK189" s="14">
        <f t="shared" si="188"/>
        <v>0.88999414128539034</v>
      </c>
      <c r="AL189" s="14">
        <f t="shared" si="189"/>
        <v>0.86091100318987357</v>
      </c>
      <c r="AM189" s="14">
        <f t="shared" si="190"/>
        <v>8.7800747494472545E-2</v>
      </c>
      <c r="AN189" s="1">
        <f t="shared" si="213"/>
        <v>-0.76950242137829761</v>
      </c>
      <c r="AO189" s="1">
        <f t="shared" si="214"/>
        <v>0.2842622105196671</v>
      </c>
      <c r="AP189" s="1">
        <f t="shared" si="215"/>
        <v>101.60177144353288</v>
      </c>
      <c r="AQ189" s="1">
        <f t="shared" si="216"/>
        <v>8.3982567961836754</v>
      </c>
      <c r="AR189" s="1">
        <f t="shared" si="191"/>
        <v>0.12427736504526621</v>
      </c>
      <c r="AS189" s="1">
        <f t="shared" si="217"/>
        <v>101.60177144353288</v>
      </c>
      <c r="AT189" s="1">
        <f t="shared" si="218"/>
        <v>8.3982567961836754</v>
      </c>
    </row>
    <row r="190" spans="1:46" x14ac:dyDescent="0.25">
      <c r="A190" s="14">
        <f t="shared" si="192"/>
        <v>5.7944931166211582</v>
      </c>
      <c r="B190" s="14">
        <f t="shared" si="193"/>
        <v>4.4147379642945968</v>
      </c>
      <c r="C190" s="14">
        <f t="shared" si="194"/>
        <v>-2.3473578139295244</v>
      </c>
      <c r="D190" s="14">
        <f t="shared" si="219"/>
        <v>1.4825602368329585</v>
      </c>
      <c r="E190" s="14">
        <f t="shared" si="195"/>
        <v>8.6408939986315687</v>
      </c>
      <c r="F190" s="14">
        <f t="shared" si="196"/>
        <v>9.9832384072297433</v>
      </c>
      <c r="G190" s="14">
        <f t="shared" si="175"/>
        <v>0.87973933359593559</v>
      </c>
      <c r="H190" s="14">
        <f t="shared" si="176"/>
        <v>9.9444008266215427</v>
      </c>
      <c r="I190" s="14">
        <f t="shared" si="177"/>
        <v>1.4857115257601703</v>
      </c>
      <c r="J190" s="14">
        <f t="shared" si="197"/>
        <v>10.037954766741867</v>
      </c>
      <c r="K190" s="14">
        <f t="shared" si="178"/>
        <v>0.12701446725823118</v>
      </c>
      <c r="L190" s="14">
        <f t="shared" si="198"/>
        <v>0.85578940543457993</v>
      </c>
      <c r="M190" s="14">
        <f t="shared" si="199"/>
        <v>0.90186960005586514</v>
      </c>
      <c r="N190" s="14">
        <f t="shared" si="200"/>
        <v>7.7738372073396456E-2</v>
      </c>
      <c r="O190" s="14">
        <f t="shared" si="179"/>
        <v>0.88837185551035303</v>
      </c>
      <c r="P190" s="14">
        <f t="shared" si="180"/>
        <v>0.86928714998009204</v>
      </c>
      <c r="Q190" s="14">
        <f t="shared" si="181"/>
        <v>-8.0517352666437753E-2</v>
      </c>
      <c r="R190" s="1">
        <f t="shared" si="201"/>
        <v>0.7711102268093778</v>
      </c>
      <c r="S190" s="1">
        <f t="shared" si="202"/>
        <v>0.2944031205649445</v>
      </c>
      <c r="T190" s="1">
        <f t="shared" si="203"/>
        <v>104.56889461486401</v>
      </c>
      <c r="U190" s="1">
        <f t="shared" si="204"/>
        <v>7.5021632317587477</v>
      </c>
      <c r="V190" s="1">
        <f t="shared" si="182"/>
        <v>0.12701446725823118</v>
      </c>
      <c r="W190" s="1">
        <f t="shared" si="205"/>
        <v>104.56889461486401</v>
      </c>
      <c r="X190" s="1">
        <f t="shared" si="206"/>
        <v>7.5021632317587477</v>
      </c>
      <c r="Z190" s="14">
        <f t="shared" si="220"/>
        <v>1.6590324167568193</v>
      </c>
      <c r="AA190" s="14">
        <f t="shared" si="207"/>
        <v>8.6408939986318742</v>
      </c>
      <c r="AB190" s="14">
        <f t="shared" si="208"/>
        <v>9.9832384072300098</v>
      </c>
      <c r="AC190" s="14">
        <f t="shared" si="184"/>
        <v>-0.87973933359580547</v>
      </c>
      <c r="AD190" s="14">
        <f t="shared" si="185"/>
        <v>9.9444008266218216</v>
      </c>
      <c r="AE190" s="14">
        <f t="shared" si="186"/>
        <v>1.6558811278296073</v>
      </c>
      <c r="AF190" s="14">
        <f t="shared" si="209"/>
        <v>10.037954766742137</v>
      </c>
      <c r="AG190" s="14">
        <f t="shared" si="187"/>
        <v>0.12701446725823651</v>
      </c>
      <c r="AH190" s="14">
        <f t="shared" si="210"/>
        <v>0.8557894054346058</v>
      </c>
      <c r="AI190" s="14">
        <f t="shared" si="211"/>
        <v>0.90186960005585548</v>
      </c>
      <c r="AJ190" s="14">
        <f t="shared" si="212"/>
        <v>-7.773837207338187E-2</v>
      </c>
      <c r="AK190" s="14">
        <f t="shared" si="188"/>
        <v>0.88837185551034858</v>
      </c>
      <c r="AL190" s="14">
        <f t="shared" si="189"/>
        <v>0.86928714998011269</v>
      </c>
      <c r="AM190" s="14">
        <f t="shared" si="190"/>
        <v>8.057589451999797E-2</v>
      </c>
      <c r="AN190" s="1">
        <f t="shared" si="213"/>
        <v>-0.7710854859529831</v>
      </c>
      <c r="AO190" s="1">
        <f t="shared" si="214"/>
        <v>0.29435006362720406</v>
      </c>
      <c r="AP190" s="1">
        <f t="shared" si="215"/>
        <v>104.56319856705021</v>
      </c>
      <c r="AQ190" s="1">
        <f t="shared" si="216"/>
        <v>7.5069427833812572</v>
      </c>
      <c r="AR190" s="1">
        <f t="shared" si="191"/>
        <v>0.12701446725823651</v>
      </c>
      <c r="AS190" s="1">
        <f t="shared" si="217"/>
        <v>104.56319856705021</v>
      </c>
      <c r="AT190" s="1">
        <f t="shared" si="218"/>
        <v>7.5069427833812572</v>
      </c>
    </row>
    <row r="191" spans="1:46" x14ac:dyDescent="0.25">
      <c r="A191" s="14">
        <f t="shared" si="192"/>
        <v>5.8293997016610444</v>
      </c>
      <c r="B191" s="14">
        <f t="shared" si="193"/>
        <v>4.4939702314957994</v>
      </c>
      <c r="C191" s="14">
        <f t="shared" si="194"/>
        <v>-2.1918557339454607</v>
      </c>
      <c r="D191" s="14">
        <f t="shared" si="219"/>
        <v>1.4888628146873824</v>
      </c>
      <c r="E191" s="14">
        <f t="shared" si="195"/>
        <v>8.7679084658897999</v>
      </c>
      <c r="F191" s="14">
        <f t="shared" si="196"/>
        <v>10.093374998791138</v>
      </c>
      <c r="G191" s="14">
        <f t="shared" si="175"/>
        <v>0.82606070022734102</v>
      </c>
      <c r="H191" s="14">
        <f t="shared" si="176"/>
        <v>10.05951502736399</v>
      </c>
      <c r="I191" s="14">
        <f t="shared" si="177"/>
        <v>1.4920141036145944</v>
      </c>
      <c r="J191" s="14">
        <f t="shared" si="197"/>
        <v>10.149511936455767</v>
      </c>
      <c r="K191" s="14">
        <f t="shared" si="178"/>
        <v>0.12985343072821109</v>
      </c>
      <c r="L191" s="14">
        <f t="shared" si="198"/>
        <v>0.86636235265372097</v>
      </c>
      <c r="M191" s="14">
        <f t="shared" si="199"/>
        <v>0.89808223078692184</v>
      </c>
      <c r="N191" s="14">
        <f t="shared" si="200"/>
        <v>7.1872471300112609E-2</v>
      </c>
      <c r="O191" s="14">
        <f t="shared" si="179"/>
        <v>0.88660801789853139</v>
      </c>
      <c r="P191" s="14">
        <f t="shared" si="180"/>
        <v>0.87783656554211154</v>
      </c>
      <c r="Q191" s="14">
        <f t="shared" si="181"/>
        <v>-7.3470777890747505E-2</v>
      </c>
      <c r="R191" s="1">
        <f t="shared" si="201"/>
        <v>0.77248965822964377</v>
      </c>
      <c r="S191" s="1">
        <f t="shared" si="202"/>
        <v>0.30440262529980816</v>
      </c>
      <c r="T191" s="1">
        <f t="shared" si="203"/>
        <v>107.61726445764673</v>
      </c>
      <c r="U191" s="1">
        <f t="shared" si="204"/>
        <v>6.568735374095211</v>
      </c>
      <c r="V191" s="1">
        <f t="shared" si="182"/>
        <v>0.12985343072821109</v>
      </c>
      <c r="W191" s="1">
        <f t="shared" si="205"/>
        <v>107.61726445764673</v>
      </c>
      <c r="X191" s="1">
        <f t="shared" si="206"/>
        <v>6.568735374095211</v>
      </c>
      <c r="Z191" s="14">
        <f t="shared" si="220"/>
        <v>1.6527298389023954</v>
      </c>
      <c r="AA191" s="14">
        <f t="shared" si="207"/>
        <v>8.7679084658901107</v>
      </c>
      <c r="AB191" s="14">
        <f t="shared" si="208"/>
        <v>10.093374998791409</v>
      </c>
      <c r="AC191" s="14">
        <f t="shared" si="184"/>
        <v>-0.8260607002272079</v>
      </c>
      <c r="AD191" s="14">
        <f t="shared" si="185"/>
        <v>10.059515027364272</v>
      </c>
      <c r="AE191" s="14">
        <f t="shared" si="186"/>
        <v>1.6495785499751836</v>
      </c>
      <c r="AF191" s="14">
        <f t="shared" si="209"/>
        <v>10.149511936456038</v>
      </c>
      <c r="AG191" s="14">
        <f t="shared" si="187"/>
        <v>0.12985343072821998</v>
      </c>
      <c r="AH191" s="14">
        <f t="shared" si="210"/>
        <v>0.86636235265374639</v>
      </c>
      <c r="AI191" s="14">
        <f t="shared" si="211"/>
        <v>0.89808223078691263</v>
      </c>
      <c r="AJ191" s="14">
        <f t="shared" si="212"/>
        <v>-7.1872471300098439E-2</v>
      </c>
      <c r="AK191" s="14">
        <f t="shared" si="188"/>
        <v>0.88660801789852672</v>
      </c>
      <c r="AL191" s="14">
        <f t="shared" si="189"/>
        <v>0.8778365655421323</v>
      </c>
      <c r="AM191" s="14">
        <f t="shared" si="190"/>
        <v>7.3496959872217965E-2</v>
      </c>
      <c r="AN191" s="1">
        <f t="shared" si="213"/>
        <v>-0.77247859324614154</v>
      </c>
      <c r="AO191" s="1">
        <f t="shared" si="214"/>
        <v>0.30437889636613025</v>
      </c>
      <c r="AP191" s="1">
        <f t="shared" si="215"/>
        <v>107.61466004434571</v>
      </c>
      <c r="AQ191" s="1">
        <f t="shared" si="216"/>
        <v>6.5709207363408906</v>
      </c>
      <c r="AR191" s="1">
        <f t="shared" si="191"/>
        <v>0.12985343072821998</v>
      </c>
      <c r="AS191" s="1">
        <f t="shared" si="217"/>
        <v>107.61466004434571</v>
      </c>
      <c r="AT191" s="1">
        <f t="shared" si="218"/>
        <v>6.5709207363408906</v>
      </c>
    </row>
    <row r="192" spans="1:46" x14ac:dyDescent="0.25">
      <c r="A192" s="14">
        <f t="shared" si="192"/>
        <v>5.8643062867009306</v>
      </c>
      <c r="B192" s="14">
        <f t="shared" si="193"/>
        <v>4.5677272882129705</v>
      </c>
      <c r="C192" s="14">
        <f t="shared" si="194"/>
        <v>-2.033683215379078</v>
      </c>
      <c r="D192" s="14">
        <f t="shared" si="219"/>
        <v>1.4951653925418062</v>
      </c>
      <c r="E192" s="14">
        <f t="shared" si="195"/>
        <v>8.897761896618011</v>
      </c>
      <c r="F192" s="14">
        <f t="shared" si="196"/>
        <v>10.206378729446962</v>
      </c>
      <c r="G192" s="14">
        <f t="shared" si="175"/>
        <v>0.77118226905191745</v>
      </c>
      <c r="H192" s="14">
        <f t="shared" si="176"/>
        <v>10.177202202806393</v>
      </c>
      <c r="I192" s="14">
        <f t="shared" si="177"/>
        <v>1.4983166814690181</v>
      </c>
      <c r="J192" s="14">
        <f t="shared" si="197"/>
        <v>10.263988853911156</v>
      </c>
      <c r="K192" s="14">
        <f t="shared" si="178"/>
        <v>0.13279932191941413</v>
      </c>
      <c r="L192" s="14">
        <f t="shared" si="198"/>
        <v>0.87692470415419588</v>
      </c>
      <c r="M192" s="14">
        <f t="shared" si="199"/>
        <v>0.89433217567357404</v>
      </c>
      <c r="N192" s="14">
        <f t="shared" si="200"/>
        <v>6.6012354727156025E-2</v>
      </c>
      <c r="O192" s="14">
        <f t="shared" si="179"/>
        <v>0.88470526264257554</v>
      </c>
      <c r="P192" s="14">
        <f t="shared" si="180"/>
        <v>0.88655161718519437</v>
      </c>
      <c r="Q192" s="14">
        <f t="shared" si="181"/>
        <v>-6.6577276427652904E-2</v>
      </c>
      <c r="R192" s="1">
        <f t="shared" si="201"/>
        <v>0.77367849592998605</v>
      </c>
      <c r="S192" s="1">
        <f t="shared" si="202"/>
        <v>0.31433339933213944</v>
      </c>
      <c r="T192" s="1">
        <f t="shared" si="203"/>
        <v>110.75913376921984</v>
      </c>
      <c r="U192" s="1">
        <f t="shared" si="204"/>
        <v>5.5892384132366626</v>
      </c>
      <c r="V192" s="1">
        <f t="shared" si="182"/>
        <v>0.13279932191941413</v>
      </c>
      <c r="W192" s="1">
        <f t="shared" si="205"/>
        <v>110.75913376921984</v>
      </c>
      <c r="X192" s="1">
        <f t="shared" si="206"/>
        <v>5.5892384132366626</v>
      </c>
      <c r="Z192" s="14">
        <f t="shared" si="220"/>
        <v>1.6464272610479715</v>
      </c>
      <c r="AA192" s="14">
        <f t="shared" si="207"/>
        <v>8.8977618966183307</v>
      </c>
      <c r="AB192" s="14">
        <f t="shared" si="208"/>
        <v>10.206378729447241</v>
      </c>
      <c r="AC192" s="14">
        <f t="shared" si="184"/>
        <v>-0.77118226905178133</v>
      </c>
      <c r="AD192" s="14">
        <f t="shared" si="185"/>
        <v>10.177202202806685</v>
      </c>
      <c r="AE192" s="14">
        <f t="shared" si="186"/>
        <v>1.6432759721207595</v>
      </c>
      <c r="AF192" s="14">
        <f t="shared" si="209"/>
        <v>10.263988853911442</v>
      </c>
      <c r="AG192" s="14">
        <f t="shared" si="187"/>
        <v>0.13279932191942123</v>
      </c>
      <c r="AH192" s="14">
        <f t="shared" si="210"/>
        <v>0.87692470415422208</v>
      </c>
      <c r="AI192" s="14">
        <f t="shared" si="211"/>
        <v>0.89433217567356482</v>
      </c>
      <c r="AJ192" s="14">
        <f t="shared" si="212"/>
        <v>-6.6012354727141467E-2</v>
      </c>
      <c r="AK192" s="14">
        <f t="shared" si="188"/>
        <v>0.88470526264257077</v>
      </c>
      <c r="AL192" s="14">
        <f t="shared" si="189"/>
        <v>0.88655161718521613</v>
      </c>
      <c r="AM192" s="14">
        <f t="shared" si="190"/>
        <v>6.6570135766388219E-2</v>
      </c>
      <c r="AN192" s="1">
        <f t="shared" si="213"/>
        <v>-0.77368151370383309</v>
      </c>
      <c r="AO192" s="1">
        <f t="shared" si="214"/>
        <v>0.31433987096905741</v>
      </c>
      <c r="AP192" s="1">
        <f t="shared" si="215"/>
        <v>110.75986019000015</v>
      </c>
      <c r="AQ192" s="1">
        <f t="shared" si="216"/>
        <v>5.58862887383175</v>
      </c>
      <c r="AR192" s="1">
        <f t="shared" si="191"/>
        <v>0.13279932191942123</v>
      </c>
      <c r="AS192" s="1">
        <f t="shared" si="217"/>
        <v>110.75986019000015</v>
      </c>
      <c r="AT192" s="1">
        <f t="shared" si="218"/>
        <v>5.58862887383175</v>
      </c>
    </row>
    <row r="193" spans="1:46" x14ac:dyDescent="0.25">
      <c r="A193" s="14">
        <f t="shared" si="192"/>
        <v>5.8992128717408168</v>
      </c>
      <c r="B193" s="14">
        <f t="shared" si="193"/>
        <v>4.6359192728339051</v>
      </c>
      <c r="C193" s="14">
        <f t="shared" si="194"/>
        <v>-1.87303296707964</v>
      </c>
      <c r="D193" s="14">
        <f t="shared" si="219"/>
        <v>1.5014679703962301</v>
      </c>
      <c r="E193" s="14">
        <f t="shared" si="195"/>
        <v>9.0305612185374251</v>
      </c>
      <c r="F193" s="14">
        <f t="shared" si="196"/>
        <v>10.322356122598762</v>
      </c>
      <c r="G193" s="14">
        <f t="shared" si="175"/>
        <v>0.71505885046199114</v>
      </c>
      <c r="H193" s="14">
        <f t="shared" si="176"/>
        <v>10.297559262375144</v>
      </c>
      <c r="I193" s="14">
        <f t="shared" si="177"/>
        <v>1.5046192593234422</v>
      </c>
      <c r="J193" s="14">
        <f t="shared" si="197"/>
        <v>10.381494695415578</v>
      </c>
      <c r="K193" s="14">
        <f t="shared" si="178"/>
        <v>0.13585752712443089</v>
      </c>
      <c r="L193" s="14">
        <f t="shared" si="198"/>
        <v>0.88747126000097842</v>
      </c>
      <c r="M193" s="14">
        <f t="shared" si="199"/>
        <v>0.89061967152823907</v>
      </c>
      <c r="N193" s="14">
        <f t="shared" si="200"/>
        <v>6.0161212418957374E-2</v>
      </c>
      <c r="O193" s="14">
        <f t="shared" si="179"/>
        <v>0.88266654548360768</v>
      </c>
      <c r="P193" s="14">
        <f t="shared" si="180"/>
        <v>0.89542438604560981</v>
      </c>
      <c r="Q193" s="14">
        <f t="shared" si="181"/>
        <v>-5.984278552635891E-2</v>
      </c>
      <c r="R193" s="1">
        <f t="shared" si="201"/>
        <v>0.77467690953166179</v>
      </c>
      <c r="S193" s="1">
        <f t="shared" si="202"/>
        <v>0.32418671503032542</v>
      </c>
      <c r="T193" s="1">
        <f t="shared" si="203"/>
        <v>113.99845063931569</v>
      </c>
      <c r="U193" s="1">
        <f t="shared" si="204"/>
        <v>4.5620501984506898</v>
      </c>
      <c r="V193" s="1">
        <f t="shared" si="182"/>
        <v>0.13585752712443089</v>
      </c>
      <c r="W193" s="1">
        <f t="shared" si="205"/>
        <v>113.99845063931569</v>
      </c>
      <c r="X193" s="1">
        <f t="shared" si="206"/>
        <v>4.5620501984506898</v>
      </c>
      <c r="Z193" s="14">
        <f t="shared" si="220"/>
        <v>1.6401246831935477</v>
      </c>
      <c r="AA193" s="14">
        <f t="shared" si="207"/>
        <v>9.030561218537752</v>
      </c>
      <c r="AB193" s="14">
        <f t="shared" si="208"/>
        <v>10.32235612259905</v>
      </c>
      <c r="AC193" s="14">
        <f t="shared" si="184"/>
        <v>-0.71505885046185214</v>
      </c>
      <c r="AD193" s="14">
        <f t="shared" si="185"/>
        <v>10.297559262375444</v>
      </c>
      <c r="AE193" s="14">
        <f t="shared" si="186"/>
        <v>1.6369733942663358</v>
      </c>
      <c r="AF193" s="14">
        <f t="shared" si="209"/>
        <v>10.381494695415862</v>
      </c>
      <c r="AG193" s="14">
        <f t="shared" si="187"/>
        <v>0.13585752712443799</v>
      </c>
      <c r="AH193" s="14">
        <f t="shared" si="210"/>
        <v>0.88747126000100351</v>
      </c>
      <c r="AI193" s="14">
        <f t="shared" si="211"/>
        <v>0.89061967152823029</v>
      </c>
      <c r="AJ193" s="14">
        <f t="shared" si="212"/>
        <v>-6.0161212418943281E-2</v>
      </c>
      <c r="AK193" s="14">
        <f t="shared" si="188"/>
        <v>0.88266654548360279</v>
      </c>
      <c r="AL193" s="14">
        <f t="shared" si="189"/>
        <v>0.89542438604563102</v>
      </c>
      <c r="AM193" s="14">
        <f t="shared" si="190"/>
        <v>5.9801393602589903E-2</v>
      </c>
      <c r="AN193" s="1">
        <f t="shared" si="213"/>
        <v>-0.7746944025145307</v>
      </c>
      <c r="AO193" s="1">
        <f t="shared" si="214"/>
        <v>0.32422422885316671</v>
      </c>
      <c r="AP193" s="1">
        <f t="shared" si="215"/>
        <v>114.0027584170184</v>
      </c>
      <c r="AQ193" s="1">
        <f t="shared" si="216"/>
        <v>4.5584355437730153</v>
      </c>
      <c r="AR193" s="1">
        <f t="shared" si="191"/>
        <v>0.13585752712443799</v>
      </c>
      <c r="AS193" s="1">
        <f t="shared" si="217"/>
        <v>114.0027584170184</v>
      </c>
      <c r="AT193" s="1">
        <f t="shared" si="218"/>
        <v>4.5584355437730153</v>
      </c>
    </row>
    <row r="194" spans="1:46" x14ac:dyDescent="0.25">
      <c r="A194" s="14">
        <f t="shared" si="192"/>
        <v>5.934119456780703</v>
      </c>
      <c r="B194" s="14">
        <f t="shared" si="193"/>
        <v>4.6984631039295115</v>
      </c>
      <c r="C194" s="14">
        <f t="shared" si="194"/>
        <v>-1.7101007166284263</v>
      </c>
      <c r="D194" s="14">
        <f t="shared" si="219"/>
        <v>1.507770548250654</v>
      </c>
      <c r="E194" s="14">
        <f t="shared" si="195"/>
        <v>9.166418745661856</v>
      </c>
      <c r="F194" s="14">
        <f t="shared" si="196"/>
        <v>10.441419090373735</v>
      </c>
      <c r="G194" s="14">
        <f t="shared" si="175"/>
        <v>0.65764297850427433</v>
      </c>
      <c r="H194" s="14">
        <f t="shared" si="176"/>
        <v>10.420687997135559</v>
      </c>
      <c r="I194" s="14">
        <f t="shared" si="177"/>
        <v>1.5109218371778659</v>
      </c>
      <c r="J194" s="14">
        <f t="shared" si="197"/>
        <v>10.502144194959996</v>
      </c>
      <c r="K194" s="14">
        <f t="shared" si="178"/>
        <v>0.13903377699202757</v>
      </c>
      <c r="L194" s="14">
        <f t="shared" si="198"/>
        <v>0.89799676502943682</v>
      </c>
      <c r="M194" s="14">
        <f t="shared" si="199"/>
        <v>0.88694504902328219</v>
      </c>
      <c r="N194" s="14">
        <f t="shared" si="200"/>
        <v>5.4322159551974884E-2</v>
      </c>
      <c r="O194" s="14">
        <f t="shared" si="179"/>
        <v>0.88049513410863411</v>
      </c>
      <c r="P194" s="14">
        <f t="shared" si="180"/>
        <v>0.9044466799440849</v>
      </c>
      <c r="Q194" s="14">
        <f t="shared" si="181"/>
        <v>-5.3273004308781624E-2</v>
      </c>
      <c r="R194" s="1">
        <f t="shared" si="201"/>
        <v>0.77548545201185248</v>
      </c>
      <c r="S194" s="1">
        <f t="shared" si="202"/>
        <v>0.33395394507123011</v>
      </c>
      <c r="T194" s="1">
        <f t="shared" si="203"/>
        <v>117.33943856241147</v>
      </c>
      <c r="U194" s="1">
        <f t="shared" si="204"/>
        <v>3.4854729038171239</v>
      </c>
      <c r="V194" s="1">
        <f t="shared" si="182"/>
        <v>0.13903377699202757</v>
      </c>
      <c r="W194" s="1">
        <f t="shared" si="205"/>
        <v>117.33943856241147</v>
      </c>
      <c r="X194" s="1">
        <f t="shared" si="206"/>
        <v>3.4854729038171239</v>
      </c>
      <c r="Z194" s="14">
        <f t="shared" si="220"/>
        <v>1.6338221053391238</v>
      </c>
      <c r="AA194" s="14">
        <f t="shared" si="207"/>
        <v>9.1664187456621899</v>
      </c>
      <c r="AB194" s="14">
        <f t="shared" si="208"/>
        <v>10.44141909037403</v>
      </c>
      <c r="AC194" s="14">
        <f t="shared" si="184"/>
        <v>-0.65764297850413211</v>
      </c>
      <c r="AD194" s="14">
        <f t="shared" si="185"/>
        <v>10.420687997135863</v>
      </c>
      <c r="AE194" s="14">
        <f t="shared" si="186"/>
        <v>1.6306708164119117</v>
      </c>
      <c r="AF194" s="14">
        <f t="shared" si="209"/>
        <v>10.502144194960296</v>
      </c>
      <c r="AG194" s="14">
        <f t="shared" si="187"/>
        <v>0.13903377699203467</v>
      </c>
      <c r="AH194" s="14">
        <f t="shared" si="210"/>
        <v>0.89799676502946268</v>
      </c>
      <c r="AI194" s="14">
        <f t="shared" si="211"/>
        <v>0.88694504902327354</v>
      </c>
      <c r="AJ194" s="14">
        <f t="shared" si="212"/>
        <v>-5.432215955196041E-2</v>
      </c>
      <c r="AK194" s="14">
        <f t="shared" si="188"/>
        <v>0.8804951341086289</v>
      </c>
      <c r="AL194" s="14">
        <f t="shared" si="189"/>
        <v>0.9044466799441071</v>
      </c>
      <c r="AM194" s="14">
        <f t="shared" si="190"/>
        <v>5.3196468502656455E-2</v>
      </c>
      <c r="AN194" s="1">
        <f t="shared" si="213"/>
        <v>-0.7755177974411932</v>
      </c>
      <c r="AO194" s="1">
        <f t="shared" si="214"/>
        <v>0.33402331006831792</v>
      </c>
      <c r="AP194" s="1">
        <f t="shared" si="215"/>
        <v>117.34759008898517</v>
      </c>
      <c r="AQ194" s="1">
        <f t="shared" si="216"/>
        <v>3.4786329608793203</v>
      </c>
      <c r="AR194" s="1">
        <f t="shared" si="191"/>
        <v>0.13903377699203467</v>
      </c>
      <c r="AS194" s="1">
        <f t="shared" si="217"/>
        <v>117.34759008898517</v>
      </c>
      <c r="AT194" s="1">
        <f t="shared" si="218"/>
        <v>3.4786329608793203</v>
      </c>
    </row>
    <row r="195" spans="1:46" x14ac:dyDescent="0.25">
      <c r="A195" s="14">
        <f t="shared" si="192"/>
        <v>5.9690260418205892</v>
      </c>
      <c r="B195" s="14">
        <f t="shared" si="193"/>
        <v>4.7552825814757398</v>
      </c>
      <c r="C195" s="14">
        <f t="shared" si="194"/>
        <v>-1.5450849718748227</v>
      </c>
      <c r="D195" s="14">
        <f t="shared" si="219"/>
        <v>1.5140731261050779</v>
      </c>
      <c r="E195" s="14">
        <f t="shared" si="195"/>
        <v>9.3054525226538836</v>
      </c>
      <c r="F195" s="14">
        <f t="shared" si="196"/>
        <v>10.563685277939964</v>
      </c>
      <c r="G195" s="14">
        <f t="shared" si="175"/>
        <v>0.5988847653486602</v>
      </c>
      <c r="H195" s="14">
        <f t="shared" si="176"/>
        <v>10.546695391884551</v>
      </c>
      <c r="I195" s="14">
        <f t="shared" si="177"/>
        <v>1.51722441503229</v>
      </c>
      <c r="J195" s="14">
        <f t="shared" si="197"/>
        <v>10.626058001617945</v>
      </c>
      <c r="K195" s="14">
        <f t="shared" si="178"/>
        <v>0.14233417327806031</v>
      </c>
      <c r="L195" s="14">
        <f t="shared" si="198"/>
        <v>0.90849591403608199</v>
      </c>
      <c r="M195" s="14">
        <f t="shared" si="199"/>
        <v>0.883308730722277</v>
      </c>
      <c r="N195" s="14">
        <f t="shared" si="200"/>
        <v>4.849823313597016E-2</v>
      </c>
      <c r="O195" s="14">
        <f t="shared" si="179"/>
        <v>0.87819459776217168</v>
      </c>
      <c r="P195" s="14">
        <f t="shared" si="180"/>
        <v>0.91361004699618742</v>
      </c>
      <c r="Q195" s="14">
        <f t="shared" si="181"/>
        <v>-4.6873378980183747E-2</v>
      </c>
      <c r="R195" s="1">
        <f t="shared" si="201"/>
        <v>0.77610505653885642</v>
      </c>
      <c r="S195" s="1">
        <f t="shared" si="202"/>
        <v>0.34362658159590687</v>
      </c>
      <c r="T195" s="1">
        <f t="shared" si="203"/>
        <v>120.78661909895244</v>
      </c>
      <c r="U195" s="1">
        <f t="shared" si="204"/>
        <v>2.3577261807522181</v>
      </c>
      <c r="V195" s="1">
        <f t="shared" si="182"/>
        <v>0.14233417327806031</v>
      </c>
      <c r="W195" s="1">
        <f t="shared" si="205"/>
        <v>120.78661909895244</v>
      </c>
      <c r="X195" s="1">
        <f t="shared" si="206"/>
        <v>2.3577261807522181</v>
      </c>
      <c r="Z195" s="14">
        <f t="shared" si="220"/>
        <v>1.6275195274846999</v>
      </c>
      <c r="AA195" s="14">
        <f t="shared" si="207"/>
        <v>9.3054525226542246</v>
      </c>
      <c r="AB195" s="14">
        <f t="shared" si="208"/>
        <v>10.563685277940266</v>
      </c>
      <c r="AC195" s="14">
        <f t="shared" si="184"/>
        <v>-0.59888476534851443</v>
      </c>
      <c r="AD195" s="14">
        <f t="shared" si="185"/>
        <v>10.546695391884862</v>
      </c>
      <c r="AE195" s="14">
        <f t="shared" si="186"/>
        <v>1.624368238557488</v>
      </c>
      <c r="AF195" s="14">
        <f t="shared" si="209"/>
        <v>10.626058001618246</v>
      </c>
      <c r="AG195" s="14">
        <f t="shared" si="187"/>
        <v>0.14233417327806919</v>
      </c>
      <c r="AH195" s="14">
        <f t="shared" si="210"/>
        <v>0.90849591403610708</v>
      </c>
      <c r="AI195" s="14">
        <f t="shared" si="211"/>
        <v>0.88330873072226845</v>
      </c>
      <c r="AJ195" s="14">
        <f t="shared" si="212"/>
        <v>-4.8498233135956123E-2</v>
      </c>
      <c r="AK195" s="14">
        <f t="shared" si="188"/>
        <v>0.87819459776216602</v>
      </c>
      <c r="AL195" s="14">
        <f t="shared" si="189"/>
        <v>0.9136100469962094</v>
      </c>
      <c r="AM195" s="14">
        <f t="shared" si="190"/>
        <v>4.6760844445484173E-2</v>
      </c>
      <c r="AN195" s="1">
        <f t="shared" si="213"/>
        <v>-0.77615261568829186</v>
      </c>
      <c r="AO195" s="1">
        <f t="shared" si="214"/>
        <v>0.34372857252102501</v>
      </c>
      <c r="AP195" s="1">
        <f t="shared" si="215"/>
        <v>120.79888922345864</v>
      </c>
      <c r="AQ195" s="1">
        <f t="shared" si="216"/>
        <v>2.3474303238094389</v>
      </c>
      <c r="AR195" s="1">
        <f t="shared" si="191"/>
        <v>0.14233417327806919</v>
      </c>
      <c r="AS195" s="1">
        <f t="shared" si="217"/>
        <v>120.79888922345864</v>
      </c>
      <c r="AT195" s="1">
        <f t="shared" si="218"/>
        <v>2.3474303238094389</v>
      </c>
    </row>
    <row r="196" spans="1:46" x14ac:dyDescent="0.25">
      <c r="A196" s="14">
        <f t="shared" si="192"/>
        <v>6.0039326268604754</v>
      </c>
      <c r="B196" s="14">
        <f t="shared" si="193"/>
        <v>4.8063084796915687</v>
      </c>
      <c r="C196" s="14">
        <f t="shared" si="194"/>
        <v>-1.3781867790850844</v>
      </c>
      <c r="D196" s="14">
        <f t="shared" si="219"/>
        <v>1.5203757039595018</v>
      </c>
      <c r="E196" s="14">
        <f t="shared" si="195"/>
        <v>9.4477866959319439</v>
      </c>
      <c r="F196" s="14">
        <f t="shared" si="196"/>
        <v>10.689278434573058</v>
      </c>
      <c r="G196" s="14">
        <f t="shared" si="175"/>
        <v>0.53873174445158656</v>
      </c>
      <c r="H196" s="14">
        <f t="shared" si="176"/>
        <v>10.67569396148788</v>
      </c>
      <c r="I196" s="14">
        <f t="shared" si="177"/>
        <v>1.5235269928867137</v>
      </c>
      <c r="J196" s="14">
        <f t="shared" si="197"/>
        <v>10.753363064893335</v>
      </c>
      <c r="K196" s="14">
        <f t="shared" si="178"/>
        <v>0.14576521805289211</v>
      </c>
      <c r="L196" s="14">
        <f t="shared" si="198"/>
        <v>0.91896335706242416</v>
      </c>
      <c r="M196" s="14">
        <f t="shared" si="199"/>
        <v>0.87971122898319387</v>
      </c>
      <c r="N196" s="14">
        <f t="shared" si="200"/>
        <v>4.2692388875836429E-2</v>
      </c>
      <c r="O196" s="14">
        <f t="shared" si="179"/>
        <v>0.87576879610390157</v>
      </c>
      <c r="P196" s="14">
        <f t="shared" si="180"/>
        <v>0.92290578994171646</v>
      </c>
      <c r="Q196" s="14">
        <f t="shared" si="181"/>
        <v>-4.064908868100453E-2</v>
      </c>
      <c r="R196" s="1">
        <f t="shared" si="201"/>
        <v>0.77653703235296845</v>
      </c>
      <c r="S196" s="1">
        <f t="shared" si="202"/>
        <v>0.35319625508805752</v>
      </c>
      <c r="T196" s="1">
        <f t="shared" si="203"/>
        <v>124.34483657574656</v>
      </c>
      <c r="U196" s="1">
        <f t="shared" si="204"/>
        <v>1.1769396301729187</v>
      </c>
      <c r="V196" s="1">
        <f t="shared" si="182"/>
        <v>0.14576521805289211</v>
      </c>
      <c r="W196" s="1">
        <f t="shared" si="205"/>
        <v>124.34483657574656</v>
      </c>
      <c r="X196" s="1">
        <f t="shared" si="206"/>
        <v>1.1769396301729187</v>
      </c>
      <c r="Z196" s="14">
        <f t="shared" si="220"/>
        <v>1.621216949630276</v>
      </c>
      <c r="AA196" s="14">
        <f t="shared" si="207"/>
        <v>9.4477866959322938</v>
      </c>
      <c r="AB196" s="14">
        <f t="shared" si="208"/>
        <v>10.689278434573369</v>
      </c>
      <c r="AC196" s="14">
        <f t="shared" si="184"/>
        <v>-0.53873174445143734</v>
      </c>
      <c r="AD196" s="14">
        <f t="shared" si="185"/>
        <v>10.6756939614882</v>
      </c>
      <c r="AE196" s="14">
        <f t="shared" si="186"/>
        <v>1.6180656607030639</v>
      </c>
      <c r="AF196" s="14">
        <f t="shared" si="209"/>
        <v>10.753363064893655</v>
      </c>
      <c r="AG196" s="14">
        <f t="shared" si="187"/>
        <v>0.14576521805290099</v>
      </c>
      <c r="AH196" s="14">
        <f t="shared" si="210"/>
        <v>0.91896335706245014</v>
      </c>
      <c r="AI196" s="14">
        <f t="shared" si="211"/>
        <v>0.87971122898318521</v>
      </c>
      <c r="AJ196" s="14">
        <f t="shared" si="212"/>
        <v>-4.2692388875822017E-2</v>
      </c>
      <c r="AK196" s="14">
        <f t="shared" si="188"/>
        <v>0.87576879610389557</v>
      </c>
      <c r="AL196" s="14">
        <f t="shared" si="189"/>
        <v>0.92290578994173955</v>
      </c>
      <c r="AM196" s="14">
        <f t="shared" si="190"/>
        <v>4.0499740038867291E-2</v>
      </c>
      <c r="AN196" s="1">
        <f t="shared" si="213"/>
        <v>-0.77660014981649639</v>
      </c>
      <c r="AO196" s="1">
        <f t="shared" si="214"/>
        <v>0.3533316109254197</v>
      </c>
      <c r="AP196" s="1">
        <f t="shared" si="215"/>
        <v>124.36151323871198</v>
      </c>
      <c r="AQ196" s="1">
        <f t="shared" si="216"/>
        <v>1.1629462484340785</v>
      </c>
      <c r="AR196" s="1">
        <f t="shared" si="191"/>
        <v>0.14576521805290099</v>
      </c>
      <c r="AS196" s="1">
        <f t="shared" si="217"/>
        <v>124.36151323871198</v>
      </c>
      <c r="AT196" s="1">
        <f t="shared" si="218"/>
        <v>1.1629462484340785</v>
      </c>
    </row>
    <row r="197" spans="1:46" x14ac:dyDescent="0.25">
      <c r="A197" s="14">
        <f t="shared" si="192"/>
        <v>6.0388392119003615</v>
      </c>
      <c r="B197" s="14">
        <f t="shared" si="193"/>
        <v>4.85147863137996</v>
      </c>
      <c r="C197" s="14">
        <f t="shared" si="194"/>
        <v>-1.2096094779984299</v>
      </c>
      <c r="D197" s="14">
        <f t="shared" si="219"/>
        <v>1.5266782818139257</v>
      </c>
      <c r="E197" s="14">
        <f t="shared" si="195"/>
        <v>9.593551913984836</v>
      </c>
      <c r="F197" s="14">
        <f t="shared" si="196"/>
        <v>10.81832881393065</v>
      </c>
      <c r="G197" s="14">
        <f t="shared" si="175"/>
        <v>0.47712870137581931</v>
      </c>
      <c r="H197" s="14">
        <f t="shared" si="176"/>
        <v>10.807802113688313</v>
      </c>
      <c r="I197" s="14">
        <f t="shared" si="177"/>
        <v>1.5298295707411378</v>
      </c>
      <c r="J197" s="14">
        <f t="shared" si="197"/>
        <v>10.884193050600551</v>
      </c>
      <c r="K197" s="14">
        <f t="shared" si="178"/>
        <v>0.14933384562646523</v>
      </c>
      <c r="L197" s="14">
        <f t="shared" si="198"/>
        <v>0.9293937047652554</v>
      </c>
      <c r="M197" s="14">
        <f t="shared" si="199"/>
        <v>0.87615314373819242</v>
      </c>
      <c r="N197" s="14">
        <f t="shared" si="200"/>
        <v>3.6907498178032537E-2</v>
      </c>
      <c r="O197" s="14">
        <f t="shared" si="179"/>
        <v>0.87322186734604812</v>
      </c>
      <c r="P197" s="14">
        <f t="shared" si="180"/>
        <v>0.93232498115739959</v>
      </c>
      <c r="Q197" s="14">
        <f t="shared" si="181"/>
        <v>-3.4605032016040517E-2</v>
      </c>
      <c r="R197" s="1">
        <f t="shared" si="201"/>
        <v>0.77678305970830763</v>
      </c>
      <c r="S197" s="1">
        <f t="shared" si="202"/>
        <v>0.36265475292738047</v>
      </c>
      <c r="T197" s="1">
        <f t="shared" si="203"/>
        <v>128.01928504018119</v>
      </c>
      <c r="U197" s="1">
        <f t="shared" si="204"/>
        <v>-5.8855476203335394E-2</v>
      </c>
      <c r="V197" s="1">
        <f t="shared" si="182"/>
        <v>0.14933384562646523</v>
      </c>
      <c r="W197" s="1">
        <f t="shared" si="205"/>
        <v>128.01928504018119</v>
      </c>
      <c r="X197" s="1">
        <f t="shared" si="206"/>
        <v>-5.8855476203335394E-2</v>
      </c>
      <c r="Z197" s="14">
        <f t="shared" si="220"/>
        <v>1.6149143717758521</v>
      </c>
      <c r="AA197" s="14">
        <f t="shared" si="207"/>
        <v>9.5935519139851948</v>
      </c>
      <c r="AB197" s="14">
        <f t="shared" si="208"/>
        <v>10.818328813930966</v>
      </c>
      <c r="AC197" s="14">
        <f t="shared" si="184"/>
        <v>-0.47712870137566626</v>
      </c>
      <c r="AD197" s="14">
        <f t="shared" si="185"/>
        <v>10.807802113688636</v>
      </c>
      <c r="AE197" s="14">
        <f t="shared" si="186"/>
        <v>1.6117630828486402</v>
      </c>
      <c r="AF197" s="14">
        <f t="shared" si="209"/>
        <v>10.884193050600869</v>
      </c>
      <c r="AG197" s="14">
        <f t="shared" si="187"/>
        <v>0.14933384562647412</v>
      </c>
      <c r="AH197" s="14">
        <f t="shared" si="210"/>
        <v>0.92939370476528027</v>
      </c>
      <c r="AI197" s="14">
        <f t="shared" si="211"/>
        <v>0.87615314373818376</v>
      </c>
      <c r="AJ197" s="14">
        <f t="shared" si="212"/>
        <v>-3.690749817801859E-2</v>
      </c>
      <c r="AK197" s="14">
        <f t="shared" si="188"/>
        <v>0.87322186734604179</v>
      </c>
      <c r="AL197" s="14">
        <f t="shared" si="189"/>
        <v>0.93232498115742235</v>
      </c>
      <c r="AM197" s="14">
        <f t="shared" si="190"/>
        <v>3.4418094964262243E-2</v>
      </c>
      <c r="AN197" s="1">
        <f t="shared" si="213"/>
        <v>-0.77686206272017932</v>
      </c>
      <c r="AO197" s="1">
        <f t="shared" si="214"/>
        <v>0.36282417543310241</v>
      </c>
      <c r="AP197" s="1">
        <f t="shared" si="215"/>
        <v>128.04066995894942</v>
      </c>
      <c r="AQ197" s="1">
        <f t="shared" si="216"/>
        <v>-7.6799553649937763E-2</v>
      </c>
      <c r="AR197" s="1">
        <f t="shared" si="191"/>
        <v>0.14933384562647412</v>
      </c>
      <c r="AS197" s="1">
        <f t="shared" si="217"/>
        <v>128.04066995894942</v>
      </c>
      <c r="AT197" s="1">
        <f t="shared" si="218"/>
        <v>-7.6799553649937763E-2</v>
      </c>
    </row>
    <row r="198" spans="1:46" x14ac:dyDescent="0.25">
      <c r="A198" s="14">
        <f t="shared" si="192"/>
        <v>6.0737457969402477</v>
      </c>
      <c r="B198" s="14">
        <f t="shared" si="193"/>
        <v>4.8907380036690089</v>
      </c>
      <c r="C198" s="14">
        <f t="shared" si="194"/>
        <v>-1.0395584540888905</v>
      </c>
      <c r="D198" s="14">
        <f t="shared" si="219"/>
        <v>1.5329808596683496</v>
      </c>
      <c r="E198" s="14">
        <f t="shared" si="195"/>
        <v>9.7428857596113012</v>
      </c>
      <c r="F198" s="14">
        <f t="shared" si="196"/>
        <v>10.950973606252402</v>
      </c>
      <c r="G198" s="14">
        <f t="shared" si="175"/>
        <v>0.41401749111810815</v>
      </c>
      <c r="H198" s="14">
        <f t="shared" si="176"/>
        <v>10.94314454084771</v>
      </c>
      <c r="I198" s="14">
        <f t="shared" si="177"/>
        <v>1.5361321485955615</v>
      </c>
      <c r="J198" s="14">
        <f t="shared" si="197"/>
        <v>11.018688790136467</v>
      </c>
      <c r="K198" s="14">
        <f t="shared" si="178"/>
        <v>0.15304745748398574</v>
      </c>
      <c r="L198" s="14">
        <f t="shared" si="198"/>
        <v>0.93978153386648688</v>
      </c>
      <c r="M198" s="14">
        <f t="shared" si="199"/>
        <v>0.87263516015484344</v>
      </c>
      <c r="N198" s="14">
        <f t="shared" si="200"/>
        <v>3.1146345305479509E-2</v>
      </c>
      <c r="O198" s="14">
        <f t="shared" si="179"/>
        <v>0.8705582157059335</v>
      </c>
      <c r="P198" s="14">
        <f t="shared" si="180"/>
        <v>0.94185847831539704</v>
      </c>
      <c r="Q198" s="14">
        <f t="shared" si="181"/>
        <v>-2.8745814295292948E-2</v>
      </c>
      <c r="R198" s="1">
        <f t="shared" si="201"/>
        <v>0.77684518389322144</v>
      </c>
      <c r="S198" s="1">
        <f t="shared" si="202"/>
        <v>0.37199403757085991</v>
      </c>
      <c r="T198" s="1">
        <f t="shared" si="203"/>
        <v>131.81553770913075</v>
      </c>
      <c r="U198" s="1">
        <f t="shared" si="204"/>
        <v>-1.351735304382145</v>
      </c>
      <c r="V198" s="1">
        <f t="shared" si="182"/>
        <v>0.15304745748398574</v>
      </c>
      <c r="W198" s="1">
        <f t="shared" si="205"/>
        <v>131.81553770913075</v>
      </c>
      <c r="X198" s="1">
        <f t="shared" si="206"/>
        <v>-1.351735304382145</v>
      </c>
      <c r="Z198" s="14">
        <f t="shared" si="220"/>
        <v>1.6086117939214282</v>
      </c>
      <c r="AA198" s="14">
        <f t="shared" si="207"/>
        <v>9.7428857596116689</v>
      </c>
      <c r="AB198" s="14">
        <f t="shared" si="208"/>
        <v>10.950973606252729</v>
      </c>
      <c r="AC198" s="14">
        <f t="shared" si="184"/>
        <v>-0.41401749111795155</v>
      </c>
      <c r="AD198" s="14">
        <f t="shared" si="185"/>
        <v>10.943144540848042</v>
      </c>
      <c r="AE198" s="14">
        <f t="shared" si="186"/>
        <v>1.6054605049942161</v>
      </c>
      <c r="AF198" s="14">
        <f t="shared" si="209"/>
        <v>11.018688790136803</v>
      </c>
      <c r="AG198" s="14">
        <f t="shared" si="187"/>
        <v>0.15304745748399462</v>
      </c>
      <c r="AH198" s="14">
        <f t="shared" si="210"/>
        <v>0.93978153386651231</v>
      </c>
      <c r="AI198" s="14">
        <f t="shared" si="211"/>
        <v>0.87263516015483489</v>
      </c>
      <c r="AJ198" s="14">
        <f t="shared" si="212"/>
        <v>-3.1146345305465218E-2</v>
      </c>
      <c r="AK198" s="14">
        <f t="shared" si="188"/>
        <v>0.87055821570592662</v>
      </c>
      <c r="AL198" s="14">
        <f t="shared" si="189"/>
        <v>0.94185847831542036</v>
      </c>
      <c r="AM198" s="14">
        <f t="shared" si="190"/>
        <v>2.8520557128996763E-2</v>
      </c>
      <c r="AN198" s="1">
        <f t="shared" si="213"/>
        <v>-0.77694038168528001</v>
      </c>
      <c r="AO198" s="1">
        <f t="shared" si="214"/>
        <v>0.37219818989476988</v>
      </c>
      <c r="AP198" s="1">
        <f t="shared" si="215"/>
        <v>131.84194711933793</v>
      </c>
      <c r="AQ198" s="1">
        <f t="shared" si="216"/>
        <v>-1.3738954307421987</v>
      </c>
      <c r="AR198" s="1">
        <f t="shared" si="191"/>
        <v>0.15304745748399462</v>
      </c>
      <c r="AS198" s="1">
        <f t="shared" si="217"/>
        <v>131.84194711933793</v>
      </c>
      <c r="AT198" s="1">
        <f t="shared" si="218"/>
        <v>-1.3738954307421987</v>
      </c>
    </row>
    <row r="199" spans="1:46" x14ac:dyDescent="0.25">
      <c r="A199" s="14">
        <f t="shared" si="192"/>
        <v>6.1086523819801339</v>
      </c>
      <c r="B199" s="14">
        <f t="shared" si="193"/>
        <v>4.9240387650610238</v>
      </c>
      <c r="C199" s="14">
        <f t="shared" si="194"/>
        <v>-0.86824088833474811</v>
      </c>
      <c r="D199" s="14">
        <f t="shared" si="219"/>
        <v>1.5392834375227735</v>
      </c>
      <c r="E199" s="14">
        <f t="shared" si="195"/>
        <v>9.8959332170952869</v>
      </c>
      <c r="F199" s="14">
        <f t="shared" si="196"/>
        <v>11.087357405496132</v>
      </c>
      <c r="G199" s="14">
        <f t="shared" si="175"/>
        <v>0.34933684067239296</v>
      </c>
      <c r="H199" s="14">
        <f t="shared" si="176"/>
        <v>11.081852643351604</v>
      </c>
      <c r="I199" s="14">
        <f t="shared" si="177"/>
        <v>1.5424347264499856</v>
      </c>
      <c r="J199" s="14">
        <f t="shared" si="197"/>
        <v>11.156998766314892</v>
      </c>
      <c r="K199" s="14">
        <f t="shared" si="178"/>
        <v>0.15691396056103279</v>
      </c>
      <c r="L199" s="14">
        <f t="shared" si="198"/>
        <v>0.95012139267560036</v>
      </c>
      <c r="M199" s="14">
        <f t="shared" si="199"/>
        <v>0.8691580461837608</v>
      </c>
      <c r="N199" s="14">
        <f t="shared" si="200"/>
        <v>2.5411624684521496E-2</v>
      </c>
      <c r="O199" s="14">
        <f t="shared" si="179"/>
        <v>0.86778249821084985</v>
      </c>
      <c r="P199" s="14">
        <f t="shared" si="180"/>
        <v>0.95149694064851109</v>
      </c>
      <c r="Q199" s="14">
        <f t="shared" si="181"/>
        <v>-2.3075735518814519E-2</v>
      </c>
      <c r="R199" s="1">
        <f t="shared" si="201"/>
        <v>0.77672580834926142</v>
      </c>
      <c r="S199" s="1">
        <f t="shared" si="202"/>
        <v>0.38120626431616744</v>
      </c>
      <c r="T199" s="1">
        <f t="shared" si="203"/>
        <v>135.73957918299374</v>
      </c>
      <c r="U199" s="1">
        <f t="shared" si="204"/>
        <v>-2.7038934850239866</v>
      </c>
      <c r="V199" s="1">
        <f t="shared" si="182"/>
        <v>0.15691396056103279</v>
      </c>
      <c r="W199" s="1">
        <f t="shared" si="205"/>
        <v>135.73957918299374</v>
      </c>
      <c r="X199" s="1">
        <f t="shared" si="206"/>
        <v>-2.7038934850239866</v>
      </c>
      <c r="Z199" s="14">
        <f t="shared" si="220"/>
        <v>1.6023092160670043</v>
      </c>
      <c r="AA199" s="14">
        <f t="shared" si="207"/>
        <v>9.8959332170956635</v>
      </c>
      <c r="AB199" s="14">
        <f t="shared" si="208"/>
        <v>11.087357405496467</v>
      </c>
      <c r="AC199" s="14">
        <f t="shared" si="184"/>
        <v>-0.34933684067223236</v>
      </c>
      <c r="AD199" s="14">
        <f t="shared" si="185"/>
        <v>11.081852643351946</v>
      </c>
      <c r="AE199" s="14">
        <f t="shared" si="186"/>
        <v>1.5991579271397924</v>
      </c>
      <c r="AF199" s="14">
        <f t="shared" si="209"/>
        <v>11.156998766315228</v>
      </c>
      <c r="AG199" s="14">
        <f t="shared" si="187"/>
        <v>0.15691396056104345</v>
      </c>
      <c r="AH199" s="14">
        <f t="shared" si="210"/>
        <v>0.95012139267562512</v>
      </c>
      <c r="AI199" s="14">
        <f t="shared" si="211"/>
        <v>0.8691580461837527</v>
      </c>
      <c r="AJ199" s="14">
        <f t="shared" si="212"/>
        <v>-2.541162468450768E-2</v>
      </c>
      <c r="AK199" s="14">
        <f t="shared" si="188"/>
        <v>0.8677824982108433</v>
      </c>
      <c r="AL199" s="14">
        <f t="shared" si="189"/>
        <v>0.95149694064853452</v>
      </c>
      <c r="AM199" s="14">
        <f t="shared" si="190"/>
        <v>2.2811470558524921E-2</v>
      </c>
      <c r="AN199" s="1">
        <f t="shared" si="213"/>
        <v>-0.776837491547412</v>
      </c>
      <c r="AO199" s="1">
        <f t="shared" si="214"/>
        <v>0.38144576970752875</v>
      </c>
      <c r="AP199" s="1">
        <f t="shared" si="215"/>
        <v>135.77134464187171</v>
      </c>
      <c r="AQ199" s="1">
        <f t="shared" si="216"/>
        <v>-2.7305478698470962</v>
      </c>
      <c r="AR199" s="1">
        <f t="shared" si="191"/>
        <v>0.15691396056104345</v>
      </c>
      <c r="AS199" s="1">
        <f t="shared" si="217"/>
        <v>135.77134464187171</v>
      </c>
      <c r="AT199" s="1">
        <f t="shared" si="218"/>
        <v>-2.7305478698470962</v>
      </c>
    </row>
    <row r="200" spans="1:46" x14ac:dyDescent="0.25">
      <c r="A200" s="14">
        <f t="shared" si="192"/>
        <v>6.1435589670200201</v>
      </c>
      <c r="B200" s="14">
        <f t="shared" si="193"/>
        <v>4.9513403437078383</v>
      </c>
      <c r="C200" s="14">
        <f t="shared" si="194"/>
        <v>-0.69586550480042608</v>
      </c>
      <c r="D200" s="14">
        <f t="shared" si="219"/>
        <v>1.5455860153771974</v>
      </c>
      <c r="E200" s="14">
        <f t="shared" si="195"/>
        <v>10.05284717765632</v>
      </c>
      <c r="F200" s="14">
        <f t="shared" si="196"/>
        <v>11.227632714749475</v>
      </c>
      <c r="G200" s="14">
        <f t="shared" si="175"/>
        <v>0.28302213541724003</v>
      </c>
      <c r="H200" s="14">
        <f t="shared" si="176"/>
        <v>11.224064987702832</v>
      </c>
      <c r="I200" s="14">
        <f t="shared" si="177"/>
        <v>1.5487373043044093</v>
      </c>
      <c r="J200" s="14">
        <f t="shared" si="197"/>
        <v>11.299279639282062</v>
      </c>
      <c r="K200" s="14">
        <f t="shared" si="178"/>
        <v>0.16094180922804924</v>
      </c>
      <c r="L200" s="14">
        <f t="shared" si="198"/>
        <v>0.96040780667760783</v>
      </c>
      <c r="M200" s="14">
        <f t="shared" si="199"/>
        <v>0.8657226499977686</v>
      </c>
      <c r="N200" s="14">
        <f t="shared" si="200"/>
        <v>1.9705938367345601E-2</v>
      </c>
      <c r="O200" s="14">
        <f t="shared" si="179"/>
        <v>0.86489961089396039</v>
      </c>
      <c r="P200" s="14">
        <f t="shared" si="180"/>
        <v>0.96123084578141604</v>
      </c>
      <c r="Q200" s="14">
        <f t="shared" si="181"/>
        <v>-1.7598779135880593E-2</v>
      </c>
      <c r="R200" s="1">
        <f t="shared" si="201"/>
        <v>0.7764276869110005</v>
      </c>
      <c r="S200" s="1">
        <f t="shared" si="202"/>
        <v>0.39028379860249768</v>
      </c>
      <c r="T200" s="1">
        <f t="shared" si="203"/>
        <v>139.79784072922655</v>
      </c>
      <c r="U200" s="1">
        <f t="shared" si="204"/>
        <v>-4.1176521583189141</v>
      </c>
      <c r="V200" s="1">
        <f t="shared" si="182"/>
        <v>0.16094180922804924</v>
      </c>
      <c r="W200" s="1">
        <f t="shared" si="205"/>
        <v>139.79784072922655</v>
      </c>
      <c r="X200" s="1">
        <f t="shared" si="206"/>
        <v>-4.1176521583189141</v>
      </c>
      <c r="Z200" s="14">
        <f t="shared" si="220"/>
        <v>1.5960066382125804</v>
      </c>
      <c r="AA200" s="14">
        <f t="shared" si="207"/>
        <v>10.052847177656707</v>
      </c>
      <c r="AB200" s="14">
        <f t="shared" si="208"/>
        <v>11.227632714749822</v>
      </c>
      <c r="AC200" s="14">
        <f t="shared" si="184"/>
        <v>-0.28302213541707544</v>
      </c>
      <c r="AD200" s="14">
        <f t="shared" si="185"/>
        <v>11.224064987703182</v>
      </c>
      <c r="AE200" s="14">
        <f t="shared" si="186"/>
        <v>1.5928553492853683</v>
      </c>
      <c r="AF200" s="14">
        <f t="shared" si="209"/>
        <v>11.299279639282419</v>
      </c>
      <c r="AG200" s="14">
        <f t="shared" si="187"/>
        <v>0.16094180922805812</v>
      </c>
      <c r="AH200" s="14">
        <f t="shared" si="210"/>
        <v>0.96040780667763304</v>
      </c>
      <c r="AI200" s="14">
        <f t="shared" si="211"/>
        <v>0.86572264999776027</v>
      </c>
      <c r="AJ200" s="14">
        <f t="shared" si="212"/>
        <v>-1.970593836733146E-2</v>
      </c>
      <c r="AK200" s="14">
        <f t="shared" si="188"/>
        <v>0.86489961089395329</v>
      </c>
      <c r="AL200" s="14">
        <f t="shared" si="189"/>
        <v>0.96123084578144014</v>
      </c>
      <c r="AM200" s="14">
        <f t="shared" si="190"/>
        <v>1.7294864059274641E-2</v>
      </c>
      <c r="AN200" s="1">
        <f t="shared" si="213"/>
        <v>-0.77655612697238607</v>
      </c>
      <c r="AO200" s="1">
        <f t="shared" si="214"/>
        <v>0.3905592392030337</v>
      </c>
      <c r="AP200" s="1">
        <f t="shared" si="215"/>
        <v>139.83530998705137</v>
      </c>
      <c r="AQ200" s="1">
        <f t="shared" si="216"/>
        <v>-4.1490925987360763</v>
      </c>
      <c r="AR200" s="1">
        <f t="shared" si="191"/>
        <v>0.16094180922805812</v>
      </c>
      <c r="AS200" s="1">
        <f t="shared" si="217"/>
        <v>139.83530998705137</v>
      </c>
      <c r="AT200" s="1">
        <f t="shared" si="218"/>
        <v>-4.1490925987360763</v>
      </c>
    </row>
    <row r="201" spans="1:46" x14ac:dyDescent="0.25">
      <c r="A201" s="14">
        <f t="shared" si="192"/>
        <v>6.1784655520599063</v>
      </c>
      <c r="B201" s="14">
        <f t="shared" si="193"/>
        <v>4.972609476841356</v>
      </c>
      <c r="C201" s="14">
        <f t="shared" si="194"/>
        <v>-0.52264231633836866</v>
      </c>
      <c r="D201" s="14">
        <f t="shared" si="219"/>
        <v>1.5518885932316213</v>
      </c>
      <c r="E201" s="14">
        <f t="shared" si="195"/>
        <v>10.213788986884369</v>
      </c>
      <c r="F201" s="14">
        <f t="shared" si="196"/>
        <v>11.371960493626437</v>
      </c>
      <c r="G201" s="14">
        <f t="shared" si="175"/>
        <v>0.2150051877598794</v>
      </c>
      <c r="H201" s="14">
        <f t="shared" si="176"/>
        <v>11.369927802665977</v>
      </c>
      <c r="I201" s="14">
        <f t="shared" si="177"/>
        <v>1.5550398821588334</v>
      </c>
      <c r="J201" s="14">
        <f t="shared" si="197"/>
        <v>11.445696816424888</v>
      </c>
      <c r="K201" s="14">
        <f t="shared" si="178"/>
        <v>0.16514005140069088</v>
      </c>
      <c r="L201" s="14">
        <f t="shared" si="198"/>
        <v>0.97063528417935463</v>
      </c>
      <c r="M201" s="14">
        <f t="shared" si="199"/>
        <v>0.86232989732784815</v>
      </c>
      <c r="N201" s="14">
        <f t="shared" si="200"/>
        <v>1.4031793652991073E-2</v>
      </c>
      <c r="O201" s="14">
        <f t="shared" si="179"/>
        <v>0.86191467442138481</v>
      </c>
      <c r="P201" s="14">
        <f t="shared" si="180"/>
        <v>0.97105050708581819</v>
      </c>
      <c r="Q201" s="14">
        <f t="shared" si="181"/>
        <v>-1.2318601606673505E-2</v>
      </c>
      <c r="R201" s="1">
        <f t="shared" si="201"/>
        <v>0.7759539151911713</v>
      </c>
      <c r="S201" s="1">
        <f t="shared" si="202"/>
        <v>0.39921923280550287</v>
      </c>
      <c r="T201" s="1">
        <f t="shared" si="203"/>
        <v>143.99723897810705</v>
      </c>
      <c r="U201" s="1">
        <f t="shared" si="204"/>
        <v>-5.5954741488416122</v>
      </c>
      <c r="V201" s="1">
        <f t="shared" si="182"/>
        <v>0.16514005140069088</v>
      </c>
      <c r="W201" s="1">
        <f t="shared" si="205"/>
        <v>143.99723897810705</v>
      </c>
      <c r="X201" s="1">
        <f t="shared" si="206"/>
        <v>-5.5954741488416122</v>
      </c>
      <c r="Z201" s="14">
        <f t="shared" si="220"/>
        <v>1.5897040603581565</v>
      </c>
      <c r="AA201" s="14">
        <f t="shared" si="207"/>
        <v>10.213788986884765</v>
      </c>
      <c r="AB201" s="14">
        <f t="shared" si="208"/>
        <v>11.371960493626794</v>
      </c>
      <c r="AC201" s="14">
        <f t="shared" si="184"/>
        <v>-0.21500518775971059</v>
      </c>
      <c r="AD201" s="14">
        <f t="shared" si="185"/>
        <v>11.369927802666338</v>
      </c>
      <c r="AE201" s="14">
        <f t="shared" si="186"/>
        <v>1.5865527714309446</v>
      </c>
      <c r="AF201" s="14">
        <f t="shared" si="209"/>
        <v>11.445696816425244</v>
      </c>
      <c r="AG201" s="14">
        <f t="shared" si="187"/>
        <v>0.16514005140069798</v>
      </c>
      <c r="AH201" s="14">
        <f t="shared" si="210"/>
        <v>0.97063528417937917</v>
      </c>
      <c r="AI201" s="14">
        <f t="shared" si="211"/>
        <v>0.86232989732783993</v>
      </c>
      <c r="AJ201" s="14">
        <f t="shared" si="212"/>
        <v>-1.4031793652977409E-2</v>
      </c>
      <c r="AK201" s="14">
        <f t="shared" si="188"/>
        <v>0.86191467442137737</v>
      </c>
      <c r="AL201" s="14">
        <f t="shared" si="189"/>
        <v>0.97105050708584195</v>
      </c>
      <c r="AM201" s="14">
        <f t="shared" si="190"/>
        <v>1.1974440680562262E-2</v>
      </c>
      <c r="AN201" s="1">
        <f t="shared" si="213"/>
        <v>-0.77609936388351675</v>
      </c>
      <c r="AO201" s="1">
        <f t="shared" si="214"/>
        <v>0.39953114853284133</v>
      </c>
      <c r="AP201" s="1">
        <f t="shared" si="215"/>
        <v>144.04077692484617</v>
      </c>
      <c r="AQ201" s="1">
        <f t="shared" si="216"/>
        <v>-5.6320068238899124</v>
      </c>
      <c r="AR201" s="1">
        <f t="shared" si="191"/>
        <v>0.16514005140069798</v>
      </c>
      <c r="AS201" s="1">
        <f t="shared" si="217"/>
        <v>144.04077692484617</v>
      </c>
      <c r="AT201" s="1">
        <f t="shared" si="218"/>
        <v>-5.6320068238899124</v>
      </c>
    </row>
    <row r="202" spans="1:46" x14ac:dyDescent="0.25">
      <c r="A202" s="14">
        <f t="shared" si="192"/>
        <v>6.2133721370997925</v>
      </c>
      <c r="B202" s="14">
        <f t="shared" si="193"/>
        <v>4.9878202512991141</v>
      </c>
      <c r="C202" s="14">
        <f t="shared" si="194"/>
        <v>-0.3487823687207301</v>
      </c>
      <c r="D202" s="14">
        <f t="shared" si="219"/>
        <v>1.5581911710860452</v>
      </c>
      <c r="E202" s="14">
        <f t="shared" si="195"/>
        <v>10.37892903828506</v>
      </c>
      <c r="F202" s="14">
        <f t="shared" si="196"/>
        <v>11.520510751774715</v>
      </c>
      <c r="G202" s="14">
        <f t="shared" si="175"/>
        <v>0.1452139862931501</v>
      </c>
      <c r="H202" s="14">
        <f t="shared" si="176"/>
        <v>11.519595517202054</v>
      </c>
      <c r="I202" s="14">
        <f t="shared" si="177"/>
        <v>1.561342460013257</v>
      </c>
      <c r="J202" s="14">
        <f t="shared" si="197"/>
        <v>11.596425070625395</v>
      </c>
      <c r="K202" s="14">
        <f t="shared" si="178"/>
        <v>0.16951837924615809</v>
      </c>
      <c r="L202" s="14">
        <f t="shared" si="198"/>
        <v>0.98079832200686734</v>
      </c>
      <c r="M202" s="14">
        <f t="shared" si="199"/>
        <v>0.85898078870125527</v>
      </c>
      <c r="N202" s="14">
        <f t="shared" si="200"/>
        <v>8.3916008698617425E-3</v>
      </c>
      <c r="O202" s="14">
        <f t="shared" si="179"/>
        <v>0.85883301919201505</v>
      </c>
      <c r="P202" s="14">
        <f t="shared" si="180"/>
        <v>0.98094609151610757</v>
      </c>
      <c r="Q202" s="14">
        <f t="shared" si="181"/>
        <v>-7.2385227925158826E-3</v>
      </c>
      <c r="R202" s="1">
        <f t="shared" si="201"/>
        <v>0.77530792113777636</v>
      </c>
      <c r="S202" s="1">
        <f t="shared" si="202"/>
        <v>0.408005402484371</v>
      </c>
      <c r="T202" s="1">
        <f t="shared" si="203"/>
        <v>148.34521841771459</v>
      </c>
      <c r="U202" s="1">
        <f t="shared" si="204"/>
        <v>-7.1399763967010363</v>
      </c>
      <c r="V202" s="1">
        <f t="shared" si="182"/>
        <v>0.16951837924615809</v>
      </c>
      <c r="W202" s="1">
        <f t="shared" si="205"/>
        <v>148.34521841771459</v>
      </c>
      <c r="X202" s="1">
        <f t="shared" si="206"/>
        <v>-7.1399763967010363</v>
      </c>
      <c r="Z202" s="14">
        <f t="shared" si="220"/>
        <v>1.5834014825037326</v>
      </c>
      <c r="AA202" s="14">
        <f t="shared" si="207"/>
        <v>10.378929038285463</v>
      </c>
      <c r="AB202" s="14">
        <f t="shared" si="208"/>
        <v>11.520510751775083</v>
      </c>
      <c r="AC202" s="14">
        <f t="shared" si="184"/>
        <v>-0.14521398629297683</v>
      </c>
      <c r="AD202" s="14">
        <f t="shared" si="185"/>
        <v>11.519595517202424</v>
      </c>
      <c r="AE202" s="14">
        <f t="shared" si="186"/>
        <v>1.5802501935765205</v>
      </c>
      <c r="AF202" s="14">
        <f t="shared" si="209"/>
        <v>11.596425070625774</v>
      </c>
      <c r="AG202" s="14">
        <f t="shared" si="187"/>
        <v>0.16951837924617053</v>
      </c>
      <c r="AH202" s="14">
        <f t="shared" si="210"/>
        <v>0.98079832200689232</v>
      </c>
      <c r="AI202" s="14">
        <f t="shared" si="211"/>
        <v>0.85898078870124706</v>
      </c>
      <c r="AJ202" s="14">
        <f t="shared" si="212"/>
        <v>-8.3916008698477693E-3</v>
      </c>
      <c r="AK202" s="14">
        <f t="shared" si="188"/>
        <v>0.85883301919200716</v>
      </c>
      <c r="AL202" s="14">
        <f t="shared" si="189"/>
        <v>0.9809460915161321</v>
      </c>
      <c r="AM202" s="14">
        <f t="shared" si="190"/>
        <v>6.8535680018509074E-3</v>
      </c>
      <c r="AN202" s="1">
        <f t="shared" si="213"/>
        <v>-0.77547061006224882</v>
      </c>
      <c r="AO202" s="1">
        <f t="shared" si="214"/>
        <v>0.40835429000881818</v>
      </c>
      <c r="AP202" s="1">
        <f t="shared" si="215"/>
        <v>148.39520811268844</v>
      </c>
      <c r="AQ202" s="1">
        <f t="shared" si="216"/>
        <v>-7.1819227313100331</v>
      </c>
      <c r="AR202" s="1">
        <f t="shared" si="191"/>
        <v>0.16951837924617053</v>
      </c>
      <c r="AS202" s="1">
        <f t="shared" si="217"/>
        <v>148.39520811268844</v>
      </c>
      <c r="AT202" s="1">
        <f t="shared" si="218"/>
        <v>-7.1819227313100331</v>
      </c>
    </row>
    <row r="203" spans="1:46" x14ac:dyDescent="0.25">
      <c r="A203" s="14">
        <f t="shared" si="192"/>
        <v>6.2482787221396787</v>
      </c>
      <c r="B203" s="14">
        <f t="shared" si="193"/>
        <v>4.9969541350954749</v>
      </c>
      <c r="C203" s="14">
        <f t="shared" si="194"/>
        <v>-0.17449748351261063</v>
      </c>
      <c r="D203" s="14">
        <f t="shared" si="219"/>
        <v>1.5644937489404691</v>
      </c>
      <c r="E203" s="14">
        <f t="shared" si="195"/>
        <v>10.548447417531218</v>
      </c>
      <c r="F203" s="14">
        <f t="shared" si="196"/>
        <v>11.673463193089747</v>
      </c>
      <c r="G203" s="14">
        <f t="shared" si="175"/>
        <v>7.3572423523037833E-2</v>
      </c>
      <c r="H203" s="14">
        <f t="shared" si="176"/>
        <v>11.673231344358681</v>
      </c>
      <c r="I203" s="14">
        <f t="shared" si="177"/>
        <v>1.5676450378676812</v>
      </c>
      <c r="J203" s="14">
        <f t="shared" si="197"/>
        <v>11.751649211715009</v>
      </c>
      <c r="K203" s="14">
        <f t="shared" si="178"/>
        <v>0.17408718501647513</v>
      </c>
      <c r="L203" s="14">
        <f t="shared" si="198"/>
        <v>0.99089141124639912</v>
      </c>
      <c r="M203" s="14">
        <f t="shared" si="199"/>
        <v>0.85567639658729022</v>
      </c>
      <c r="N203" s="14">
        <f t="shared" si="200"/>
        <v>2.7876713223838876E-3</v>
      </c>
      <c r="O203" s="14">
        <f t="shared" si="179"/>
        <v>0.85566016995280691</v>
      </c>
      <c r="P203" s="14">
        <f t="shared" si="180"/>
        <v>0.99090763788088243</v>
      </c>
      <c r="Q203" s="14">
        <f t="shared" si="181"/>
        <v>-2.3615171984223632E-3</v>
      </c>
      <c r="R203" s="1">
        <f t="shared" si="201"/>
        <v>0.77449345479186416</v>
      </c>
      <c r="S203" s="1">
        <f t="shared" si="202"/>
        <v>0.41663540204064986</v>
      </c>
      <c r="T203" s="1">
        <f t="shared" si="203"/>
        <v>152.84979812529113</v>
      </c>
      <c r="U203" s="1">
        <f t="shared" si="204"/>
        <v>-8.7539447876507364</v>
      </c>
      <c r="V203" s="1">
        <f t="shared" si="182"/>
        <v>0.17408718501647513</v>
      </c>
      <c r="W203" s="1">
        <f t="shared" si="205"/>
        <v>152.84979812529113</v>
      </c>
      <c r="X203" s="1">
        <f t="shared" si="206"/>
        <v>-8.7539447876507364</v>
      </c>
      <c r="Z203" s="14">
        <f t="shared" si="220"/>
        <v>1.5770989046493087</v>
      </c>
      <c r="AA203" s="14">
        <f t="shared" si="207"/>
        <v>10.548447417531634</v>
      </c>
      <c r="AB203" s="14">
        <f t="shared" si="208"/>
        <v>11.673463193090123</v>
      </c>
      <c r="AC203" s="14">
        <f t="shared" si="184"/>
        <v>-7.357242352285992E-2</v>
      </c>
      <c r="AD203" s="14">
        <f t="shared" si="185"/>
        <v>11.67323134435906</v>
      </c>
      <c r="AE203" s="14">
        <f t="shared" si="186"/>
        <v>1.5739476157220968</v>
      </c>
      <c r="AF203" s="14">
        <f t="shared" si="209"/>
        <v>11.751649211715385</v>
      </c>
      <c r="AG203" s="14">
        <f t="shared" si="187"/>
        <v>0.17408718501648757</v>
      </c>
      <c r="AH203" s="14">
        <f t="shared" si="210"/>
        <v>0.9908914112464231</v>
      </c>
      <c r="AI203" s="14">
        <f t="shared" si="211"/>
        <v>0.85567639658728212</v>
      </c>
      <c r="AJ203" s="14">
        <f t="shared" si="212"/>
        <v>-2.7876713223704002E-3</v>
      </c>
      <c r="AK203" s="14">
        <f t="shared" si="188"/>
        <v>0.85566016995279903</v>
      </c>
      <c r="AL203" s="14">
        <f t="shared" si="189"/>
        <v>0.99090763788090641</v>
      </c>
      <c r="AM203" s="14">
        <f t="shared" si="190"/>
        <v>1.9352692694225549E-3</v>
      </c>
      <c r="AN203" s="1">
        <f t="shared" si="213"/>
        <v>-0.77467359495068155</v>
      </c>
      <c r="AO203" s="1">
        <f t="shared" si="214"/>
        <v>0.41702171385792075</v>
      </c>
      <c r="AP203" s="1">
        <f t="shared" si="215"/>
        <v>152.90664191856456</v>
      </c>
      <c r="AQ203" s="1">
        <f t="shared" si="216"/>
        <v>-8.8016423936150865</v>
      </c>
      <c r="AR203" s="1">
        <f t="shared" si="191"/>
        <v>0.17408718501648757</v>
      </c>
      <c r="AS203" s="1">
        <f t="shared" si="217"/>
        <v>152.90664191856456</v>
      </c>
      <c r="AT203" s="1">
        <f t="shared" si="218"/>
        <v>-8.8016423936150865</v>
      </c>
    </row>
    <row r="204" spans="1:46" x14ac:dyDescent="0.25">
      <c r="A204" s="14">
        <f t="shared" si="192"/>
        <v>6.2831853071795649</v>
      </c>
      <c r="B204" s="14">
        <f t="shared" si="193"/>
        <v>5</v>
      </c>
      <c r="C204" s="14">
        <f t="shared" si="194"/>
        <v>-1.0780655881892365E-13</v>
      </c>
      <c r="D204" s="14">
        <f t="shared" si="219"/>
        <v>1.570796326794893</v>
      </c>
      <c r="E204" s="14">
        <f t="shared" si="195"/>
        <v>10.722534602547693</v>
      </c>
      <c r="F204" s="14">
        <f t="shared" si="196"/>
        <v>11.831007915762404</v>
      </c>
      <c r="G204" s="14">
        <f t="shared" si="175"/>
        <v>4.2756920709726498E-14</v>
      </c>
      <c r="H204" s="14">
        <f t="shared" si="176"/>
        <v>11.831007915762404</v>
      </c>
      <c r="I204" s="14"/>
      <c r="J204" s="14"/>
      <c r="K204" s="14"/>
      <c r="M204" s="14"/>
      <c r="N204" s="14"/>
      <c r="O204" s="14"/>
      <c r="P204" s="14"/>
      <c r="Q204" s="14"/>
      <c r="R204" s="1"/>
      <c r="S204" s="1"/>
      <c r="T204" s="1"/>
      <c r="U204" s="1"/>
      <c r="V204" s="1">
        <f t="shared" si="182"/>
        <v>0</v>
      </c>
      <c r="W204" s="1"/>
      <c r="X204" s="1"/>
      <c r="Z204" s="14">
        <f t="shared" si="220"/>
        <v>1.5707963267948848</v>
      </c>
      <c r="AA204" s="14">
        <f t="shared" si="207"/>
        <v>10.722534602548121</v>
      </c>
      <c r="AB204" s="14">
        <f t="shared" si="208"/>
        <v>11.831007915762793</v>
      </c>
      <c r="AC204" s="14">
        <f t="shared" si="184"/>
        <v>1.399563454149852E-13</v>
      </c>
      <c r="AD204" s="14">
        <f t="shared" si="185"/>
        <v>11.831007915762793</v>
      </c>
      <c r="AE204" s="14"/>
      <c r="AF204" s="14"/>
      <c r="AG204" s="14"/>
      <c r="AH204" s="14"/>
      <c r="AI204" s="14"/>
      <c r="AJ204" s="14"/>
      <c r="AK204" s="14"/>
      <c r="AL204" s="14"/>
      <c r="AM204" s="14"/>
      <c r="AN204" s="1"/>
      <c r="AO204" s="1"/>
      <c r="AP204" s="1"/>
      <c r="AQ204" s="1"/>
      <c r="AR204" s="1">
        <f t="shared" si="191"/>
        <v>0</v>
      </c>
      <c r="AS204" s="1"/>
      <c r="AT204" s="1"/>
    </row>
  </sheetData>
  <mergeCells count="23">
    <mergeCell ref="AS21:AT21"/>
    <mergeCell ref="A14:B14"/>
    <mergeCell ref="AW3:BA3"/>
    <mergeCell ref="AW10:BA10"/>
    <mergeCell ref="AX20:BA20"/>
    <mergeCell ref="A21:C21"/>
    <mergeCell ref="AE21:AG21"/>
    <mergeCell ref="AW1:BG1"/>
    <mergeCell ref="AX17:BE17"/>
    <mergeCell ref="E2:G2"/>
    <mergeCell ref="E9:G9"/>
    <mergeCell ref="AN21:AO21"/>
    <mergeCell ref="D21:H21"/>
    <mergeCell ref="I21:K21"/>
    <mergeCell ref="L21:N21"/>
    <mergeCell ref="O21:Q21"/>
    <mergeCell ref="R21:S21"/>
    <mergeCell ref="W21:X21"/>
    <mergeCell ref="E13:G13"/>
    <mergeCell ref="E17:G17"/>
    <mergeCell ref="AH21:AJ21"/>
    <mergeCell ref="AK21:AM21"/>
    <mergeCell ref="Z21:AD21"/>
  </mergeCells>
  <phoneticPr fontId="3" type="noConversion"/>
  <dataValidations disablePrompts="1" count="1">
    <dataValidation type="list" allowBlank="1" showInputMessage="1" showErrorMessage="1" sqref="C14" xr:uid="{3A258132-38AB-47ED-81DE-544E59952E38}">
      <formula1>"0,1"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8B0E1-9D34-471B-A816-05699586C9D3}">
  <dimension ref="A1:AH17"/>
  <sheetViews>
    <sheetView workbookViewId="0">
      <selection activeCell="Q27" sqref="Q27"/>
    </sheetView>
  </sheetViews>
  <sheetFormatPr defaultRowHeight="15" x14ac:dyDescent="0.25"/>
  <cols>
    <col min="2" max="2" width="15.7109375" bestFit="1" customWidth="1"/>
    <col min="3" max="4" width="5.42578125" bestFit="1" customWidth="1"/>
    <col min="8" max="8" width="15.7109375" bestFit="1" customWidth="1"/>
    <col min="14" max="14" width="15.28515625" bestFit="1" customWidth="1"/>
    <col min="20" max="22" width="5.42578125" bestFit="1" customWidth="1"/>
    <col min="32" max="34" width="5.42578125" bestFit="1" customWidth="1"/>
  </cols>
  <sheetData>
    <row r="1" spans="1:34" x14ac:dyDescent="0.25">
      <c r="A1" t="s">
        <v>4</v>
      </c>
      <c r="B1">
        <v>30</v>
      </c>
      <c r="G1" t="s">
        <v>4</v>
      </c>
      <c r="H1">
        <v>30</v>
      </c>
      <c r="M1" t="s">
        <v>4</v>
      </c>
      <c r="N1">
        <v>30</v>
      </c>
      <c r="S1" t="s">
        <v>4</v>
      </c>
      <c r="T1">
        <v>30</v>
      </c>
      <c r="Y1" t="s">
        <v>4</v>
      </c>
      <c r="Z1">
        <v>30</v>
      </c>
      <c r="AE1" s="59" t="s">
        <v>201</v>
      </c>
      <c r="AF1" s="58">
        <v>25</v>
      </c>
    </row>
    <row r="2" spans="1:34" x14ac:dyDescent="0.25">
      <c r="A2" s="59" t="s">
        <v>6</v>
      </c>
      <c r="B2" s="58">
        <v>0.1</v>
      </c>
      <c r="G2" s="59" t="s">
        <v>201</v>
      </c>
      <c r="H2" s="58">
        <v>25</v>
      </c>
      <c r="M2" s="59" t="s">
        <v>201</v>
      </c>
      <c r="N2" s="58">
        <v>25</v>
      </c>
      <c r="S2" s="59" t="s">
        <v>201</v>
      </c>
      <c r="T2" s="58">
        <v>25</v>
      </c>
      <c r="Y2" s="59" t="s">
        <v>201</v>
      </c>
      <c r="Z2" s="58">
        <v>25</v>
      </c>
      <c r="AE2" s="59" t="s">
        <v>18</v>
      </c>
      <c r="AF2" s="60">
        <v>6.831007915762493</v>
      </c>
    </row>
    <row r="3" spans="1:34" x14ac:dyDescent="0.25">
      <c r="A3" s="59" t="s">
        <v>11</v>
      </c>
      <c r="B3" s="58">
        <v>0.5</v>
      </c>
      <c r="G3" s="59" t="s">
        <v>11</v>
      </c>
      <c r="H3" s="58">
        <v>0.5</v>
      </c>
      <c r="M3" s="59" t="s">
        <v>11</v>
      </c>
      <c r="N3" s="58">
        <v>0.5</v>
      </c>
      <c r="S3" s="59" t="s">
        <v>11</v>
      </c>
      <c r="T3" s="58">
        <v>0.5</v>
      </c>
      <c r="Y3" s="59" t="s">
        <v>18</v>
      </c>
      <c r="Z3" s="60">
        <v>6.831007915762493</v>
      </c>
      <c r="AE3" s="59" t="s">
        <v>6</v>
      </c>
      <c r="AF3" s="58">
        <v>0.1</v>
      </c>
    </row>
    <row r="4" spans="1:34" x14ac:dyDescent="0.25">
      <c r="A4" s="59" t="s">
        <v>28</v>
      </c>
      <c r="B4" s="58">
        <v>0</v>
      </c>
      <c r="D4" s="12" t="s">
        <v>218</v>
      </c>
      <c r="E4" s="64">
        <f>CORREL(D7:D17,E7:E17)</f>
        <v>0.92556491166195476</v>
      </c>
      <c r="G4" s="59" t="s">
        <v>28</v>
      </c>
      <c r="H4" s="58">
        <v>0</v>
      </c>
      <c r="J4" s="12" t="s">
        <v>218</v>
      </c>
      <c r="K4" s="64">
        <f>CORREL(J7:J17,K7:K17)</f>
        <v>0.97637650440211221</v>
      </c>
      <c r="M4" s="59" t="s">
        <v>6</v>
      </c>
      <c r="N4" s="58">
        <v>0.1</v>
      </c>
      <c r="P4" s="12" t="s">
        <v>218</v>
      </c>
      <c r="Q4" s="64">
        <f>CORREL(P7:P17,Q7:Q17)</f>
        <v>0.96618767516650195</v>
      </c>
      <c r="S4" s="59" t="s">
        <v>6</v>
      </c>
      <c r="T4" s="58">
        <v>0.1</v>
      </c>
      <c r="U4" s="12" t="s">
        <v>218</v>
      </c>
      <c r="V4" s="64">
        <f>CORREL(U7:U17,V7:V17)</f>
        <v>0.94889530146226797</v>
      </c>
      <c r="Y4" s="59" t="s">
        <v>6</v>
      </c>
      <c r="Z4" s="58">
        <v>0.1</v>
      </c>
      <c r="AA4" s="12" t="s">
        <v>218</v>
      </c>
      <c r="AB4" s="64">
        <f>CORREL(AA7:AA17,AB7:AB17)</f>
        <v>0.82646526779749563</v>
      </c>
      <c r="AE4" s="59" t="s">
        <v>28</v>
      </c>
      <c r="AF4" s="60">
        <v>0</v>
      </c>
      <c r="AG4" s="12" t="s">
        <v>218</v>
      </c>
      <c r="AH4" s="64">
        <f>CORREL(AG7:AG17,AH7:AH17)</f>
        <v>0.99884995973394863</v>
      </c>
    </row>
    <row r="5" spans="1:34" x14ac:dyDescent="0.25">
      <c r="A5" s="59" t="s">
        <v>18</v>
      </c>
      <c r="B5" s="58" t="s">
        <v>215</v>
      </c>
      <c r="G5" s="59" t="s">
        <v>18</v>
      </c>
      <c r="H5" s="60">
        <v>6.831007915762493</v>
      </c>
      <c r="M5" s="59" t="s">
        <v>18</v>
      </c>
      <c r="N5" s="60">
        <v>6.831007915762493</v>
      </c>
      <c r="S5" s="59" t="s">
        <v>28</v>
      </c>
      <c r="T5" s="60">
        <v>0</v>
      </c>
      <c r="Y5" s="59" t="s">
        <v>28</v>
      </c>
      <c r="Z5" s="60">
        <v>0</v>
      </c>
    </row>
    <row r="6" spans="1:34" x14ac:dyDescent="0.25">
      <c r="A6" t="s">
        <v>201</v>
      </c>
      <c r="B6" t="s">
        <v>330</v>
      </c>
      <c r="C6" t="s">
        <v>216</v>
      </c>
      <c r="D6" t="s">
        <v>213</v>
      </c>
      <c r="E6" t="s">
        <v>217</v>
      </c>
      <c r="G6" t="s">
        <v>214</v>
      </c>
      <c r="H6" t="str">
        <f>B6</f>
        <v>Brady &amp; Brown[5]</v>
      </c>
      <c r="I6" t="s">
        <v>216</v>
      </c>
      <c r="J6" t="s">
        <v>213</v>
      </c>
      <c r="K6" t="s">
        <v>212</v>
      </c>
      <c r="M6" t="s">
        <v>28</v>
      </c>
      <c r="N6" t="s">
        <v>331</v>
      </c>
      <c r="O6" t="s">
        <v>216</v>
      </c>
      <c r="P6" t="s">
        <v>213</v>
      </c>
      <c r="Q6" t="s">
        <v>217</v>
      </c>
      <c r="S6" t="s">
        <v>18</v>
      </c>
      <c r="T6" t="s">
        <v>211</v>
      </c>
      <c r="U6" t="s">
        <v>212</v>
      </c>
      <c r="V6" t="s">
        <v>213</v>
      </c>
      <c r="Y6" t="s">
        <v>11</v>
      </c>
      <c r="Z6" t="s">
        <v>211</v>
      </c>
      <c r="AA6" t="s">
        <v>212</v>
      </c>
      <c r="AB6" t="s">
        <v>213</v>
      </c>
      <c r="AE6" t="s">
        <v>4</v>
      </c>
      <c r="AF6" t="s">
        <v>211</v>
      </c>
      <c r="AG6" t="s">
        <v>212</v>
      </c>
      <c r="AH6" t="s">
        <v>213</v>
      </c>
    </row>
    <row r="7" spans="1:34" x14ac:dyDescent="0.25">
      <c r="A7">
        <v>25</v>
      </c>
      <c r="B7" s="1">
        <v>1.9239034622631812</v>
      </c>
      <c r="C7" s="1">
        <v>1.9227806513418704</v>
      </c>
      <c r="D7" s="1">
        <v>1.0596347398448343</v>
      </c>
      <c r="E7" s="1">
        <v>1.3556414798698397</v>
      </c>
      <c r="G7" s="16">
        <v>0</v>
      </c>
      <c r="H7" s="1">
        <v>1.8073384956376348</v>
      </c>
      <c r="I7" s="1">
        <v>1.8052518153025849</v>
      </c>
      <c r="J7" s="1">
        <v>1.0063631477916182</v>
      </c>
      <c r="K7" s="1">
        <v>1.0274547567525891</v>
      </c>
      <c r="M7" s="16">
        <v>0</v>
      </c>
      <c r="N7" s="1">
        <v>1.9239034622631812</v>
      </c>
      <c r="O7" s="1">
        <v>1.9227806513418704</v>
      </c>
      <c r="P7" s="1">
        <v>1.0596347398448343</v>
      </c>
      <c r="Q7" s="1">
        <v>1.3556414798698397</v>
      </c>
      <c r="S7" s="1">
        <v>6.831007915762493</v>
      </c>
      <c r="T7" s="1">
        <v>1.9239034622631812</v>
      </c>
      <c r="U7" s="1">
        <v>1.3556414798698397</v>
      </c>
      <c r="V7" s="1">
        <v>1.0596347398448343</v>
      </c>
      <c r="Y7" s="16">
        <v>0</v>
      </c>
      <c r="Z7" s="1">
        <v>0</v>
      </c>
      <c r="AA7" s="1">
        <v>4.6222718122967223E-2</v>
      </c>
      <c r="AB7" s="1">
        <v>0</v>
      </c>
      <c r="AE7">
        <v>25</v>
      </c>
      <c r="AF7" s="1">
        <v>0</v>
      </c>
      <c r="AG7" s="1">
        <v>0</v>
      </c>
      <c r="AH7" s="1">
        <v>0.84601264778848129</v>
      </c>
    </row>
    <row r="8" spans="1:34" x14ac:dyDescent="0.25">
      <c r="A8">
        <v>26</v>
      </c>
      <c r="B8" s="1">
        <v>1.6017575963100512</v>
      </c>
      <c r="C8" s="1">
        <v>1.6011143461800457</v>
      </c>
      <c r="D8" s="1">
        <v>1.0185893862073272</v>
      </c>
      <c r="E8" s="1">
        <v>1.1179776885166059</v>
      </c>
      <c r="G8" s="16">
        <v>0.1</v>
      </c>
      <c r="H8" s="1">
        <v>1.9239034622631812</v>
      </c>
      <c r="I8" s="1">
        <v>1.9227806513418704</v>
      </c>
      <c r="J8" s="1">
        <v>1.0596347398448343</v>
      </c>
      <c r="K8" s="1">
        <v>1.3556414798698397</v>
      </c>
      <c r="M8" s="16">
        <v>2.5</v>
      </c>
      <c r="N8" s="1">
        <v>1.9324447411300183</v>
      </c>
      <c r="O8" s="1">
        <v>1.9313925575823701</v>
      </c>
      <c r="P8" s="1">
        <v>1.1722956570966641</v>
      </c>
      <c r="Q8" s="1">
        <v>1.3796893083356874</v>
      </c>
      <c r="S8" s="1">
        <v>6.5</v>
      </c>
      <c r="T8" s="1">
        <v>2.0590481652041674</v>
      </c>
      <c r="U8" s="1">
        <v>1.4858460366548418</v>
      </c>
      <c r="V8" s="1">
        <v>1.074625702918548</v>
      </c>
      <c r="Y8" s="16">
        <v>0.1</v>
      </c>
      <c r="Z8" s="1">
        <v>8.292739629672384E-2</v>
      </c>
      <c r="AA8" s="1">
        <v>0.1049122580657413</v>
      </c>
      <c r="AB8" s="1">
        <v>0</v>
      </c>
      <c r="AE8">
        <v>26</v>
      </c>
      <c r="AF8" s="1">
        <v>0.41858009404809937</v>
      </c>
      <c r="AG8" s="1">
        <v>0.27931687054232235</v>
      </c>
      <c r="AH8" s="1">
        <v>0.88712270239361246</v>
      </c>
    </row>
    <row r="9" spans="1:34" x14ac:dyDescent="0.25">
      <c r="A9">
        <v>27</v>
      </c>
      <c r="B9" s="1">
        <v>1.2498932715399405</v>
      </c>
      <c r="C9" s="1">
        <v>1.2495969646918665</v>
      </c>
      <c r="D9" s="1">
        <v>0.97991991251526633</v>
      </c>
      <c r="E9" s="1">
        <v>0.86449714063151173</v>
      </c>
      <c r="G9" s="16">
        <v>0.2</v>
      </c>
      <c r="H9" s="1">
        <v>1.9907841621747768</v>
      </c>
      <c r="I9" s="1">
        <v>1.9902143841490167</v>
      </c>
      <c r="J9" s="1">
        <v>1.0787204442973888</v>
      </c>
      <c r="K9" s="1">
        <v>1.5439429771308799</v>
      </c>
      <c r="M9" s="16">
        <v>5</v>
      </c>
      <c r="N9" s="1">
        <v>1.9423774991734057</v>
      </c>
      <c r="O9" s="1">
        <v>1.9414074490655899</v>
      </c>
      <c r="P9" s="1">
        <v>1.2922168721786977</v>
      </c>
      <c r="Q9" s="1">
        <v>1.4076548232596338</v>
      </c>
      <c r="S9" s="1">
        <v>6</v>
      </c>
      <c r="T9" s="1">
        <v>2.2786310615089564</v>
      </c>
      <c r="U9" s="1">
        <v>1.7052482762875831</v>
      </c>
      <c r="V9" s="1">
        <v>1.0948961926953626</v>
      </c>
      <c r="Y9" s="16">
        <v>0.2</v>
      </c>
      <c r="Z9" s="1">
        <v>0.54317141278833792</v>
      </c>
      <c r="AA9" s="1">
        <v>0.19022768068321957</v>
      </c>
      <c r="AB9" s="1">
        <v>0.24297225724753968</v>
      </c>
      <c r="AE9">
        <v>27</v>
      </c>
      <c r="AF9" s="1">
        <v>0.81893220373467601</v>
      </c>
      <c r="AG9" s="1">
        <v>0.55429345405852459</v>
      </c>
      <c r="AH9" s="1">
        <v>0.92899235206520903</v>
      </c>
    </row>
    <row r="10" spans="1:34" x14ac:dyDescent="0.25">
      <c r="A10">
        <v>28</v>
      </c>
      <c r="B10" s="1">
        <v>0.86668586403164449</v>
      </c>
      <c r="C10" s="1">
        <v>0.86660702316717464</v>
      </c>
      <c r="D10" s="1">
        <v>0.94339485465956729</v>
      </c>
      <c r="E10" s="1">
        <v>0.59423074046408475</v>
      </c>
      <c r="G10" s="16">
        <v>0.3</v>
      </c>
      <c r="H10" s="1">
        <v>2.0341659109528436</v>
      </c>
      <c r="I10" s="1">
        <v>2.0339548542648034</v>
      </c>
      <c r="J10" s="1">
        <v>1.0885335551162345</v>
      </c>
      <c r="K10" s="1">
        <v>1.66608356865443</v>
      </c>
      <c r="M10" s="16">
        <v>7.5</v>
      </c>
      <c r="N10" s="1">
        <v>1.9541205726780901</v>
      </c>
      <c r="O10" s="1">
        <v>1.953247625410885</v>
      </c>
      <c r="P10" s="1">
        <v>1.4206973505843119</v>
      </c>
      <c r="Q10" s="1">
        <v>1.4407172512291668</v>
      </c>
      <c r="S10" s="1">
        <v>5.5</v>
      </c>
      <c r="T10" s="1">
        <v>2.5305489729862631</v>
      </c>
      <c r="U10" s="1">
        <v>1.9618568808633243</v>
      </c>
      <c r="V10" s="1">
        <v>1.1130349196798484</v>
      </c>
      <c r="Y10" s="16">
        <v>0.3</v>
      </c>
      <c r="Z10" s="1">
        <v>1.0034154292799529</v>
      </c>
      <c r="AA10" s="1">
        <v>0.48681817542340988</v>
      </c>
      <c r="AB10" s="1">
        <v>0.77833877955754116</v>
      </c>
      <c r="AE10">
        <v>28</v>
      </c>
      <c r="AF10" s="1">
        <v>1.2024502728248969</v>
      </c>
      <c r="AG10" s="1">
        <v>0.82518783843349597</v>
      </c>
      <c r="AH10" s="1">
        <v>0.97167156050447556</v>
      </c>
    </row>
    <row r="11" spans="1:34" x14ac:dyDescent="0.25">
      <c r="A11">
        <v>29</v>
      </c>
      <c r="B11" s="1">
        <v>0.45056328051376932</v>
      </c>
      <c r="C11" s="1">
        <v>0.45057952362335507</v>
      </c>
      <c r="D11" s="1">
        <v>0.90881225986251379</v>
      </c>
      <c r="E11" s="1">
        <v>0.30631596470236261</v>
      </c>
      <c r="G11" s="16">
        <v>0.4</v>
      </c>
      <c r="H11" s="1">
        <v>2.0645828457975695</v>
      </c>
      <c r="I11" s="1">
        <v>2.0646233051010197</v>
      </c>
      <c r="J11" s="1">
        <v>1.0945108601836044</v>
      </c>
      <c r="K11" s="1">
        <v>1.7517219423694641</v>
      </c>
      <c r="M11" s="16">
        <v>10</v>
      </c>
      <c r="N11" s="1">
        <v>1.9682777726935954</v>
      </c>
      <c r="O11" s="1">
        <v>1.967521890548739</v>
      </c>
      <c r="P11" s="1">
        <v>1.5593271583021104</v>
      </c>
      <c r="Q11" s="1">
        <v>1.4805766122027779</v>
      </c>
      <c r="S11" s="1">
        <v>5</v>
      </c>
      <c r="T11" s="1">
        <v>2.8268900817257063</v>
      </c>
      <c r="U11" s="1">
        <v>2.2679480480391701</v>
      </c>
      <c r="V11" s="1">
        <v>1.1294516109573154</v>
      </c>
      <c r="Y11" s="16">
        <v>0.4</v>
      </c>
      <c r="Z11" s="1">
        <v>1.4636594457715668</v>
      </c>
      <c r="AA11" s="1">
        <v>0.92400681540065321</v>
      </c>
      <c r="AB11" s="1">
        <v>0.98169312873196002</v>
      </c>
      <c r="AE11">
        <v>29</v>
      </c>
      <c r="AF11" s="1">
        <v>1.5703937232078347</v>
      </c>
      <c r="AG11" s="1">
        <v>1.0922400657514395</v>
      </c>
      <c r="AH11" s="1">
        <v>1.0152045953374165</v>
      </c>
    </row>
    <row r="12" spans="1:34" x14ac:dyDescent="0.25">
      <c r="A12">
        <v>30</v>
      </c>
      <c r="B12" s="1">
        <v>0</v>
      </c>
      <c r="C12" s="1">
        <v>0</v>
      </c>
      <c r="D12" s="1">
        <v>0.87599514777967091</v>
      </c>
      <c r="E12" s="1">
        <v>0</v>
      </c>
      <c r="G12" s="16">
        <v>0.5</v>
      </c>
      <c r="H12" s="1">
        <v>2.087091296184981</v>
      </c>
      <c r="I12" s="1">
        <v>2.0873178766490521</v>
      </c>
      <c r="J12" s="1">
        <v>1.0985337066037795</v>
      </c>
      <c r="K12" s="1">
        <v>1.8150941097447486</v>
      </c>
      <c r="M12" s="16">
        <v>12.5</v>
      </c>
      <c r="N12" s="1">
        <v>1.9857529427423402</v>
      </c>
      <c r="O12" s="1">
        <v>1.985141561834846</v>
      </c>
      <c r="P12" s="1">
        <v>1.7100847158112631</v>
      </c>
      <c r="Q12" s="1">
        <v>1.5297776625718689</v>
      </c>
      <c r="S12" s="1">
        <v>4.5</v>
      </c>
      <c r="T12" s="1">
        <v>3.1829097336546246</v>
      </c>
      <c r="U12" s="1">
        <v>2.6398204291007867</v>
      </c>
      <c r="V12" s="1">
        <v>1.1443962798038947</v>
      </c>
      <c r="Y12" s="16">
        <v>0.5</v>
      </c>
      <c r="Z12" s="1">
        <v>1.9239034622631812</v>
      </c>
      <c r="AA12" s="1">
        <v>1.3556414798698397</v>
      </c>
      <c r="AB12" s="1">
        <v>1.0596347398448343</v>
      </c>
      <c r="AE12">
        <v>30</v>
      </c>
      <c r="AF12" s="1">
        <v>1.9239034622631812</v>
      </c>
      <c r="AG12" s="1">
        <v>1.3556414798698397</v>
      </c>
      <c r="AH12" s="1">
        <v>1.0596347398448343</v>
      </c>
    </row>
    <row r="13" spans="1:34" x14ac:dyDescent="0.25">
      <c r="A13">
        <v>31</v>
      </c>
      <c r="B13" s="1">
        <v>0</v>
      </c>
      <c r="C13" s="1">
        <v>0</v>
      </c>
      <c r="D13" s="1">
        <v>0.84478775680759965</v>
      </c>
      <c r="E13" s="1">
        <v>0</v>
      </c>
      <c r="G13" s="16">
        <v>0.6</v>
      </c>
      <c r="H13" s="1">
        <v>2.1044207639129664</v>
      </c>
      <c r="I13" s="1">
        <v>2.1047906408097465</v>
      </c>
      <c r="J13" s="1">
        <v>1.1014259975431364</v>
      </c>
      <c r="K13" s="1">
        <v>1.8638849376551674</v>
      </c>
      <c r="M13" s="16">
        <v>15</v>
      </c>
      <c r="N13" s="1">
        <v>2.0079630772843573</v>
      </c>
      <c r="O13" s="1">
        <v>2.0075353507799014</v>
      </c>
      <c r="P13" s="1">
        <v>1.8754780558414608</v>
      </c>
      <c r="Q13" s="1">
        <v>1.5923099266504404</v>
      </c>
      <c r="S13" s="1">
        <v>4</v>
      </c>
      <c r="T13" s="1">
        <v>3.6202699704449826</v>
      </c>
      <c r="U13" s="1">
        <v>3.1008391919821934</v>
      </c>
      <c r="V13" s="1">
        <v>1.1580484743980186</v>
      </c>
      <c r="Y13" s="16">
        <v>0.6</v>
      </c>
      <c r="Z13" s="1">
        <v>2.3841474787547958</v>
      </c>
      <c r="AA13" s="1">
        <v>1.783077444346471</v>
      </c>
      <c r="AB13" s="1">
        <v>1.1009299988966972</v>
      </c>
      <c r="AE13">
        <v>31</v>
      </c>
      <c r="AF13" s="1">
        <v>2.2640156635615001</v>
      </c>
      <c r="AG13" s="1">
        <v>1.6156859100389604</v>
      </c>
      <c r="AH13" s="1">
        <v>1.105023535257831</v>
      </c>
    </row>
    <row r="14" spans="1:34" x14ac:dyDescent="0.25">
      <c r="A14">
        <v>32</v>
      </c>
      <c r="B14" s="1">
        <v>0</v>
      </c>
      <c r="C14" s="1">
        <v>0</v>
      </c>
      <c r="D14" s="1">
        <v>0.81504818948708069</v>
      </c>
      <c r="E14" s="1">
        <v>0</v>
      </c>
      <c r="G14" s="16">
        <v>0.7</v>
      </c>
      <c r="H14" s="1">
        <v>2.1181742805182719</v>
      </c>
      <c r="I14" s="1">
        <v>2.118657884501054</v>
      </c>
      <c r="J14" s="1">
        <v>1.1036056017157085</v>
      </c>
      <c r="K14" s="1">
        <v>1.9026077347073105</v>
      </c>
      <c r="M14" s="16">
        <v>17.5</v>
      </c>
      <c r="N14" s="1">
        <v>2.0372631520576023</v>
      </c>
      <c r="O14" s="1">
        <v>2.0370777062890566</v>
      </c>
      <c r="P14" s="1">
        <v>2.0587572748869283</v>
      </c>
      <c r="Q14" s="1">
        <v>1.6748037994262401</v>
      </c>
      <c r="S14" s="1">
        <v>3.5</v>
      </c>
      <c r="T14" s="1">
        <v>4.1718047889415786</v>
      </c>
      <c r="U14" s="1">
        <v>3.6864281759473325</v>
      </c>
      <c r="V14" s="1">
        <v>1.1705509484100927</v>
      </c>
      <c r="Y14" s="16">
        <v>0.7</v>
      </c>
      <c r="Z14" s="1">
        <v>2.8443914952464091</v>
      </c>
      <c r="AA14" s="1">
        <v>2.2075191710366853</v>
      </c>
      <c r="AB14" s="1">
        <v>1.1265610429350221</v>
      </c>
      <c r="AE14">
        <v>32</v>
      </c>
      <c r="AF14" s="1">
        <v>2.5916736743788666</v>
      </c>
      <c r="AG14" s="1">
        <v>1.8724581847692361</v>
      </c>
      <c r="AH14" s="1">
        <v>1.1514121377705573</v>
      </c>
    </row>
    <row r="15" spans="1:34" x14ac:dyDescent="0.25">
      <c r="A15">
        <v>33</v>
      </c>
      <c r="B15" s="1">
        <v>0</v>
      </c>
      <c r="C15" s="1">
        <v>0</v>
      </c>
      <c r="D15" s="1">
        <v>0.78665551935514866</v>
      </c>
      <c r="E15" s="1">
        <v>0</v>
      </c>
      <c r="G15" s="16">
        <v>0.8</v>
      </c>
      <c r="H15" s="1">
        <v>2.1293551778459245</v>
      </c>
      <c r="I15" s="1">
        <v>2.129931236064841</v>
      </c>
      <c r="J15" s="1">
        <v>1.1053070434063597</v>
      </c>
      <c r="K15" s="1">
        <v>1.9340873650087347</v>
      </c>
      <c r="M15" s="16">
        <v>20</v>
      </c>
      <c r="N15" s="1">
        <v>2.07787672408167</v>
      </c>
      <c r="O15" s="1">
        <v>2.0780271097467984</v>
      </c>
      <c r="P15" s="1">
        <v>2.2642479203008068</v>
      </c>
      <c r="Q15" s="1">
        <v>1.7891506353798279</v>
      </c>
      <c r="S15" s="1">
        <v>3</v>
      </c>
      <c r="T15" s="1">
        <v>4.8905699226041381</v>
      </c>
      <c r="U15" s="1">
        <v>4.4533079822490906</v>
      </c>
      <c r="V15" s="1">
        <v>1.1820225131581903</v>
      </c>
      <c r="Y15" s="16">
        <v>0.8</v>
      </c>
      <c r="Z15" s="1">
        <v>3.3046355117380242</v>
      </c>
      <c r="AA15" s="1">
        <v>2.629930334410532</v>
      </c>
      <c r="AB15" s="1">
        <v>1.1440522169990361</v>
      </c>
      <c r="AE15">
        <v>33</v>
      </c>
      <c r="AF15" s="1">
        <v>2.9077383408147766</v>
      </c>
      <c r="AG15" s="1">
        <v>2.126312528635812</v>
      </c>
      <c r="AH15" s="1">
        <v>1.198875344513888</v>
      </c>
    </row>
    <row r="16" spans="1:34" x14ac:dyDescent="0.25">
      <c r="A16">
        <v>34</v>
      </c>
      <c r="B16" s="1">
        <v>0</v>
      </c>
      <c r="C16" s="1">
        <v>0</v>
      </c>
      <c r="D16" s="1">
        <v>0.75950333690645044</v>
      </c>
      <c r="E16" s="1">
        <v>0</v>
      </c>
      <c r="G16" s="16">
        <v>0.9</v>
      </c>
      <c r="H16" s="1">
        <v>2.1386235403118272</v>
      </c>
      <c r="I16" s="1">
        <v>2.1392762381193955</v>
      </c>
      <c r="J16" s="1">
        <v>1.1066721182519914</v>
      </c>
      <c r="K16" s="1">
        <v>1.9601822852442117</v>
      </c>
      <c r="M16" s="16">
        <v>22.5</v>
      </c>
      <c r="N16" s="1">
        <v>2.1382086843932551</v>
      </c>
      <c r="O16" s="1">
        <v>2.1388579517798867</v>
      </c>
      <c r="P16" s="1">
        <v>2.4979024706233832</v>
      </c>
      <c r="Q16" s="1">
        <v>1.9590142653116811</v>
      </c>
      <c r="S16" s="1"/>
      <c r="Y16" s="16">
        <v>0.9</v>
      </c>
      <c r="Z16" s="1">
        <v>3.7648795282296379</v>
      </c>
      <c r="AA16" s="1">
        <v>3.0510094727608279</v>
      </c>
      <c r="AB16" s="1">
        <v>1.1567676155173654</v>
      </c>
      <c r="AE16">
        <v>34</v>
      </c>
      <c r="AF16" s="1">
        <v>3.212996990848521</v>
      </c>
      <c r="AG16" s="1">
        <v>2.3772691397434573</v>
      </c>
      <c r="AH16" s="1">
        <v>1.2474605970895911</v>
      </c>
    </row>
    <row r="17" spans="1:34" x14ac:dyDescent="0.25">
      <c r="A17">
        <v>35</v>
      </c>
      <c r="B17" s="1">
        <v>0</v>
      </c>
      <c r="C17" s="1">
        <v>0</v>
      </c>
      <c r="D17" s="1">
        <v>0.73348734257358794</v>
      </c>
      <c r="E17" s="1">
        <v>0</v>
      </c>
      <c r="G17" s="16">
        <v>1</v>
      </c>
      <c r="H17" s="1">
        <v>2.1464314244304359</v>
      </c>
      <c r="I17" s="1">
        <v>2.1471486852100781</v>
      </c>
      <c r="J17" s="1">
        <v>1.1077916005904356</v>
      </c>
      <c r="K17" s="1">
        <v>1.9821652530049618</v>
      </c>
      <c r="M17" s="16">
        <v>25</v>
      </c>
      <c r="N17" s="1">
        <v>2.2377229897998325</v>
      </c>
      <c r="O17" s="1">
        <v>2.2391951356034601</v>
      </c>
      <c r="P17" s="1">
        <v>2.7682755320192465</v>
      </c>
      <c r="Q17" s="1">
        <v>2.2391951356034556</v>
      </c>
      <c r="S17" s="1"/>
      <c r="Y17" s="16">
        <v>1</v>
      </c>
      <c r="Z17" s="1">
        <v>4.2251235447212538</v>
      </c>
      <c r="AA17" s="1">
        <v>3.4710841251097273</v>
      </c>
      <c r="AB17" s="1">
        <v>1.1664347627638514</v>
      </c>
      <c r="AE17">
        <v>35</v>
      </c>
      <c r="AF17" s="1">
        <v>3.5081712748560503</v>
      </c>
      <c r="AG17" s="1">
        <v>2.6256993547808918</v>
      </c>
      <c r="AH17" s="1">
        <v>1.297251243475158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A106-78F7-4F19-89EE-AC8FF4DDF133}">
  <dimension ref="A1:AH17"/>
  <sheetViews>
    <sheetView topLeftCell="A9" workbookViewId="0">
      <selection activeCell="K22" sqref="K22"/>
    </sheetView>
  </sheetViews>
  <sheetFormatPr defaultRowHeight="15" x14ac:dyDescent="0.25"/>
  <cols>
    <col min="2" max="2" width="15.7109375" bestFit="1" customWidth="1"/>
    <col min="3" max="4" width="5.42578125" bestFit="1" customWidth="1"/>
    <col min="20" max="22" width="5.42578125" bestFit="1" customWidth="1"/>
    <col min="32" max="34" width="5.42578125" bestFit="1" customWidth="1"/>
  </cols>
  <sheetData>
    <row r="1" spans="1:34" x14ac:dyDescent="0.25">
      <c r="A1" t="s">
        <v>4</v>
      </c>
      <c r="B1">
        <v>30</v>
      </c>
      <c r="AE1" s="65" t="s">
        <v>201</v>
      </c>
      <c r="AF1" s="66">
        <v>25</v>
      </c>
    </row>
    <row r="2" spans="1:34" x14ac:dyDescent="0.25">
      <c r="A2" s="59" t="s">
        <v>6</v>
      </c>
      <c r="B2" s="58">
        <v>0.1</v>
      </c>
      <c r="AF2" s="1"/>
    </row>
    <row r="3" spans="1:34" x14ac:dyDescent="0.25">
      <c r="A3" s="59" t="s">
        <v>11</v>
      </c>
      <c r="B3" s="58">
        <v>0.5</v>
      </c>
      <c r="Z3" s="1"/>
    </row>
    <row r="4" spans="1:34" x14ac:dyDescent="0.25">
      <c r="A4" s="59" t="s">
        <v>28</v>
      </c>
      <c r="B4" s="58">
        <v>0</v>
      </c>
      <c r="D4" s="12" t="s">
        <v>218</v>
      </c>
      <c r="E4" s="64">
        <f>CORREL(D8:D17,E8:E17)</f>
        <v>0.95079577727387132</v>
      </c>
      <c r="J4" s="3"/>
      <c r="K4" s="5"/>
      <c r="P4" s="3"/>
      <c r="Q4" s="5"/>
      <c r="U4" s="3"/>
      <c r="V4" s="5"/>
      <c r="AA4" s="3"/>
      <c r="AB4" s="5"/>
      <c r="AF4" s="1"/>
      <c r="AG4" s="3"/>
      <c r="AH4" s="5"/>
    </row>
    <row r="5" spans="1:34" x14ac:dyDescent="0.25">
      <c r="A5" s="59" t="s">
        <v>18</v>
      </c>
      <c r="B5" s="58" t="s">
        <v>215</v>
      </c>
      <c r="H5" s="1"/>
      <c r="N5" s="1"/>
      <c r="T5" s="1"/>
      <c r="Z5" s="1"/>
    </row>
    <row r="6" spans="1:34" ht="18" x14ac:dyDescent="0.35">
      <c r="A6" s="59" t="s">
        <v>14</v>
      </c>
      <c r="B6" s="58">
        <v>25</v>
      </c>
    </row>
    <row r="7" spans="1:34" ht="18" x14ac:dyDescent="0.35">
      <c r="A7" t="s">
        <v>219</v>
      </c>
      <c r="B7" t="str">
        <f>'results_Symmetric wedge'!B6</f>
        <v>Brady &amp; Brown[5]</v>
      </c>
      <c r="C7" t="s">
        <v>216</v>
      </c>
      <c r="D7" t="s">
        <v>213</v>
      </c>
      <c r="E7" t="s">
        <v>217</v>
      </c>
      <c r="G7" s="16"/>
      <c r="H7" s="1"/>
      <c r="I7" s="1"/>
      <c r="J7" s="1"/>
      <c r="K7" s="1"/>
      <c r="M7" s="16"/>
      <c r="N7" s="1"/>
      <c r="O7" s="1"/>
      <c r="P7" s="1"/>
      <c r="Q7" s="1"/>
      <c r="S7" s="1"/>
      <c r="T7" s="1"/>
      <c r="U7" s="1"/>
      <c r="V7" s="1"/>
      <c r="Y7" s="16"/>
      <c r="Z7" s="1"/>
      <c r="AA7" s="1"/>
      <c r="AB7" s="1"/>
      <c r="AF7" s="1"/>
      <c r="AG7" s="1"/>
      <c r="AH7" s="1"/>
    </row>
    <row r="8" spans="1:34" x14ac:dyDescent="0.25">
      <c r="A8">
        <v>-5</v>
      </c>
      <c r="B8" s="1">
        <v>44.328521984755341</v>
      </c>
      <c r="C8" s="1">
        <v>6.0899543954714153</v>
      </c>
      <c r="D8" s="1">
        <v>3.0573044937374889</v>
      </c>
      <c r="E8" s="1">
        <v>7.8872544777923075</v>
      </c>
      <c r="G8" s="16"/>
      <c r="H8" s="1"/>
      <c r="I8" s="1"/>
      <c r="J8" s="1"/>
      <c r="K8" s="1"/>
      <c r="M8" s="16"/>
      <c r="N8" s="1"/>
      <c r="O8" s="1"/>
      <c r="P8" s="1"/>
      <c r="Q8" s="1"/>
      <c r="S8" s="1"/>
      <c r="T8" s="1"/>
      <c r="U8" s="1"/>
      <c r="V8" s="1"/>
      <c r="Y8" s="16"/>
      <c r="Z8" s="1"/>
      <c r="AA8" s="1"/>
      <c r="AB8" s="1"/>
      <c r="AF8" s="1"/>
      <c r="AG8" s="1"/>
      <c r="AH8" s="1"/>
    </row>
    <row r="9" spans="1:34" x14ac:dyDescent="0.25">
      <c r="A9">
        <v>-2.5</v>
      </c>
      <c r="B9" s="1">
        <v>24.632675687500416</v>
      </c>
      <c r="C9" s="1">
        <v>4.4027686693182613</v>
      </c>
      <c r="D9" s="1">
        <v>2.6993167401134381</v>
      </c>
      <c r="E9" s="1">
        <v>6.0736341406322403</v>
      </c>
      <c r="G9" s="16"/>
      <c r="H9" s="1"/>
      <c r="I9" s="1"/>
      <c r="J9" s="1"/>
      <c r="K9" s="1"/>
      <c r="M9" s="16"/>
      <c r="N9" s="1"/>
      <c r="O9" s="1"/>
      <c r="P9" s="1"/>
      <c r="Q9" s="1"/>
      <c r="S9" s="1"/>
      <c r="T9" s="1"/>
      <c r="U9" s="1"/>
      <c r="V9" s="1"/>
      <c r="Y9" s="16"/>
      <c r="Z9" s="1"/>
      <c r="AA9" s="1"/>
      <c r="AB9" s="1"/>
      <c r="AF9" s="1"/>
      <c r="AG9" s="1"/>
      <c r="AH9" s="1"/>
    </row>
    <row r="10" spans="1:34" x14ac:dyDescent="0.25">
      <c r="A10">
        <v>-1</v>
      </c>
      <c r="B10" s="1">
        <v>18.803278116439092</v>
      </c>
      <c r="C10" s="1">
        <v>3.5306563303958436</v>
      </c>
      <c r="D10" s="1">
        <v>2.5187424597374943</v>
      </c>
      <c r="E10" s="1">
        <v>5.1560509719503989</v>
      </c>
      <c r="G10" s="16"/>
      <c r="H10" s="1"/>
      <c r="I10" s="1"/>
      <c r="J10" s="1"/>
      <c r="K10" s="1"/>
      <c r="M10" s="16"/>
      <c r="N10" s="1"/>
      <c r="O10" s="1"/>
      <c r="P10" s="1"/>
      <c r="Q10" s="1"/>
      <c r="S10" s="1"/>
      <c r="T10" s="1"/>
      <c r="U10" s="1"/>
      <c r="V10" s="1"/>
      <c r="Y10" s="16"/>
      <c r="Z10" s="1"/>
      <c r="AA10" s="1"/>
      <c r="AB10" s="1"/>
      <c r="AF10" s="1"/>
      <c r="AG10" s="1"/>
      <c r="AH10" s="1"/>
    </row>
    <row r="11" spans="1:34" x14ac:dyDescent="0.25">
      <c r="A11">
        <v>0</v>
      </c>
      <c r="B11" s="1">
        <v>16.088275594293751</v>
      </c>
      <c r="C11" s="1">
        <v>2.9973887146704921</v>
      </c>
      <c r="D11" s="1">
        <v>2.409751450675194</v>
      </c>
      <c r="E11" s="1">
        <v>4.6021958475656968</v>
      </c>
      <c r="G11" s="16"/>
      <c r="H11" s="1"/>
      <c r="I11" s="1"/>
      <c r="J11" s="1"/>
      <c r="K11" s="1"/>
      <c r="M11" s="16"/>
      <c r="N11" s="1"/>
      <c r="O11" s="1"/>
      <c r="P11" s="1"/>
      <c r="Q11" s="1"/>
      <c r="S11" s="1"/>
      <c r="T11" s="1"/>
      <c r="U11" s="1"/>
      <c r="V11" s="1"/>
      <c r="Y11" s="16"/>
      <c r="Z11" s="1"/>
      <c r="AA11" s="1"/>
      <c r="AB11" s="1"/>
      <c r="AF11" s="1"/>
      <c r="AG11" s="1"/>
      <c r="AH11" s="1"/>
    </row>
    <row r="12" spans="1:34" x14ac:dyDescent="0.25">
      <c r="A12">
        <v>5</v>
      </c>
      <c r="B12" s="1">
        <v>8.9952521638249188</v>
      </c>
      <c r="C12" s="1">
        <v>2.6475352047098326</v>
      </c>
      <c r="D12" s="1">
        <v>1.963230019360598</v>
      </c>
      <c r="E12" s="1">
        <v>4.2308551563667312</v>
      </c>
      <c r="G12" s="16"/>
      <c r="H12" s="1"/>
      <c r="I12" s="1"/>
      <c r="J12" s="1"/>
      <c r="K12" s="1"/>
      <c r="M12" s="16"/>
      <c r="N12" s="1"/>
      <c r="O12" s="1"/>
      <c r="P12" s="1"/>
      <c r="Q12" s="1"/>
      <c r="S12" s="1"/>
      <c r="T12" s="1"/>
      <c r="U12" s="1"/>
      <c r="V12" s="1"/>
      <c r="Y12" s="16"/>
      <c r="Z12" s="1"/>
      <c r="AA12" s="1"/>
      <c r="AB12" s="1"/>
      <c r="AF12" s="1"/>
      <c r="AG12" s="1"/>
      <c r="AH12" s="1"/>
    </row>
    <row r="13" spans="1:34" x14ac:dyDescent="0.25">
      <c r="A13">
        <v>10</v>
      </c>
      <c r="B13" s="1">
        <v>6.1040409136632245</v>
      </c>
      <c r="C13" s="1">
        <v>2.4127179451070475</v>
      </c>
      <c r="D13" s="1">
        <v>1.6477123863796355</v>
      </c>
      <c r="E13" s="1">
        <v>4.0544970832496663</v>
      </c>
      <c r="G13" s="16"/>
      <c r="H13" s="1"/>
      <c r="I13" s="1"/>
      <c r="J13" s="1"/>
      <c r="K13" s="1"/>
      <c r="M13" s="16"/>
      <c r="N13" s="1"/>
      <c r="O13" s="1"/>
      <c r="P13" s="1"/>
      <c r="Q13" s="1"/>
      <c r="S13" s="1"/>
      <c r="T13" s="1"/>
      <c r="U13" s="1"/>
      <c r="V13" s="1"/>
      <c r="Y13" s="16"/>
      <c r="Z13" s="1"/>
      <c r="AA13" s="1"/>
      <c r="AB13" s="1"/>
      <c r="AF13" s="1"/>
      <c r="AG13" s="1"/>
      <c r="AH13" s="1"/>
    </row>
    <row r="14" spans="1:34" x14ac:dyDescent="0.25">
      <c r="A14">
        <v>15</v>
      </c>
      <c r="B14" s="1">
        <v>4.4285650386273927</v>
      </c>
      <c r="C14" s="1">
        <v>2.239968318099387</v>
      </c>
      <c r="D14" s="1">
        <v>1.4119952812482914</v>
      </c>
      <c r="E14" s="1">
        <v>3.5844593792673276</v>
      </c>
      <c r="G14" s="16"/>
      <c r="H14" s="1"/>
      <c r="I14" s="1"/>
      <c r="J14" s="1"/>
      <c r="K14" s="1"/>
      <c r="M14" s="16"/>
      <c r="N14" s="1"/>
      <c r="O14" s="1"/>
      <c r="P14" s="1"/>
      <c r="Q14" s="1"/>
      <c r="S14" s="1"/>
      <c r="T14" s="1"/>
      <c r="U14" s="1"/>
      <c r="V14" s="1"/>
      <c r="Y14" s="16"/>
      <c r="Z14" s="1"/>
      <c r="AA14" s="1"/>
      <c r="AB14" s="1"/>
      <c r="AF14" s="1"/>
      <c r="AG14" s="1"/>
      <c r="AH14" s="1"/>
    </row>
    <row r="15" spans="1:34" x14ac:dyDescent="0.25">
      <c r="A15">
        <v>20</v>
      </c>
      <c r="B15" s="1">
        <v>3.1277782914259102</v>
      </c>
      <c r="C15" s="1">
        <v>2.0944152941067102</v>
      </c>
      <c r="D15" s="1">
        <v>1.2227886027376988</v>
      </c>
      <c r="E15" s="1">
        <v>2.3792528228366554</v>
      </c>
      <c r="G15" s="16"/>
      <c r="H15" s="1"/>
      <c r="I15" s="1"/>
      <c r="J15" s="1"/>
      <c r="K15" s="1"/>
      <c r="M15" s="16"/>
      <c r="N15" s="1"/>
      <c r="O15" s="1"/>
      <c r="P15" s="1"/>
      <c r="Q15" s="1"/>
      <c r="S15" s="1"/>
      <c r="T15" s="1"/>
      <c r="U15" s="1"/>
      <c r="V15" s="1"/>
      <c r="Y15" s="16"/>
      <c r="Z15" s="1"/>
      <c r="AA15" s="1"/>
      <c r="AB15" s="1"/>
      <c r="AF15" s="1"/>
      <c r="AG15" s="1"/>
      <c r="AH15" s="1"/>
    </row>
    <row r="16" spans="1:34" x14ac:dyDescent="0.25">
      <c r="A16">
        <v>25</v>
      </c>
      <c r="B16" s="1">
        <v>1.9239034622631812</v>
      </c>
      <c r="C16" s="1">
        <v>1.9227806513418704</v>
      </c>
      <c r="D16" s="1">
        <v>1.0596347398448343</v>
      </c>
      <c r="E16" s="1">
        <v>1.3556414798698397</v>
      </c>
      <c r="G16" s="16"/>
      <c r="H16" s="1"/>
      <c r="I16" s="1"/>
      <c r="J16" s="1"/>
      <c r="K16" s="1"/>
      <c r="M16" s="16"/>
      <c r="N16" s="1"/>
      <c r="O16" s="1"/>
      <c r="P16" s="1"/>
      <c r="Q16" s="1"/>
      <c r="S16" s="1"/>
      <c r="Y16" s="16"/>
      <c r="Z16" s="1"/>
      <c r="AA16" s="1"/>
      <c r="AB16" s="1"/>
      <c r="AF16" s="1"/>
      <c r="AG16" s="1"/>
      <c r="AH16" s="1"/>
    </row>
    <row r="17" spans="2:34" x14ac:dyDescent="0.25">
      <c r="B17" s="1"/>
      <c r="C17" s="1"/>
      <c r="D17" s="1"/>
      <c r="E17" s="1"/>
      <c r="G17" s="16"/>
      <c r="H17" s="1"/>
      <c r="I17" s="1"/>
      <c r="J17" s="1"/>
      <c r="K17" s="1"/>
      <c r="M17" s="16"/>
      <c r="N17" s="1"/>
      <c r="O17" s="1"/>
      <c r="P17" s="1"/>
      <c r="Q17" s="1"/>
      <c r="S17" s="1"/>
      <c r="Y17" s="16"/>
      <c r="Z17" s="1"/>
      <c r="AA17" s="1"/>
      <c r="AB17" s="1"/>
      <c r="AF17" s="1"/>
      <c r="AG17" s="1"/>
      <c r="AH17" s="1"/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267C-E036-45B8-8CE0-4AB7104C3CC8}">
  <dimension ref="A1:CI124"/>
  <sheetViews>
    <sheetView topLeftCell="BO1" workbookViewId="0">
      <selection activeCell="CA6" sqref="CA6"/>
    </sheetView>
  </sheetViews>
  <sheetFormatPr defaultRowHeight="15" x14ac:dyDescent="0.25"/>
  <cols>
    <col min="4" max="4" width="5.42578125" bestFit="1" customWidth="1"/>
    <col min="5" max="5" width="4.42578125" bestFit="1" customWidth="1"/>
    <col min="6" max="6" width="12.42578125" bestFit="1" customWidth="1"/>
    <col min="7" max="8" width="5.42578125" bestFit="1" customWidth="1"/>
    <col min="9" max="9" width="5.85546875" customWidth="1"/>
    <col min="10" max="11" width="5.42578125" bestFit="1" customWidth="1"/>
    <col min="12" max="12" width="6" bestFit="1" customWidth="1"/>
    <col min="13" max="13" width="5.42578125" bestFit="1" customWidth="1"/>
    <col min="14" max="14" width="6" bestFit="1" customWidth="1"/>
    <col min="15" max="15" width="9.42578125" bestFit="1" customWidth="1"/>
    <col min="16" max="16" width="6" bestFit="1" customWidth="1"/>
    <col min="17" max="17" width="11.7109375" bestFit="1" customWidth="1"/>
    <col min="18" max="18" width="7.42578125" bestFit="1" customWidth="1"/>
    <col min="19" max="19" width="7" bestFit="1" customWidth="1"/>
    <col min="20" max="20" width="7" customWidth="1"/>
    <col min="21" max="21" width="9.85546875" bestFit="1" customWidth="1"/>
    <col min="22" max="22" width="9.5703125" bestFit="1" customWidth="1"/>
    <col min="23" max="23" width="7" bestFit="1" customWidth="1"/>
    <col min="24" max="24" width="1.42578125" style="30" bestFit="1" customWidth="1"/>
    <col min="25" max="26" width="5.42578125" bestFit="1" customWidth="1"/>
    <col min="35" max="37" width="6" bestFit="1" customWidth="1"/>
    <col min="38" max="38" width="11.7109375" bestFit="1" customWidth="1"/>
    <col min="39" max="39" width="7.42578125" bestFit="1" customWidth="1"/>
    <col min="40" max="40" width="7" bestFit="1" customWidth="1"/>
    <col min="41" max="41" width="7" customWidth="1"/>
    <col min="42" max="43" width="7.42578125" bestFit="1" customWidth="1"/>
    <col min="44" max="44" width="7" bestFit="1" customWidth="1"/>
    <col min="45" max="45" width="1.42578125" style="30" bestFit="1" customWidth="1"/>
    <col min="46" max="48" width="5.42578125" bestFit="1" customWidth="1"/>
    <col min="49" max="52" width="6" bestFit="1" customWidth="1"/>
    <col min="53" max="53" width="5.42578125" bestFit="1" customWidth="1"/>
    <col min="54" max="58" width="6" bestFit="1" customWidth="1"/>
    <col min="59" max="59" width="11.7109375" bestFit="1" customWidth="1"/>
    <col min="60" max="61" width="7" bestFit="1" customWidth="1"/>
    <col min="62" max="62" width="7" customWidth="1"/>
    <col min="66" max="66" width="1.42578125" style="30" bestFit="1" customWidth="1"/>
    <col min="68" max="75" width="6" bestFit="1" customWidth="1"/>
    <col min="76" max="77" width="5.42578125" bestFit="1" customWidth="1"/>
    <col min="79" max="79" width="11.42578125" bestFit="1" customWidth="1"/>
    <col min="83" max="83" width="9.5703125" bestFit="1" customWidth="1"/>
    <col min="86" max="86" width="6.140625" bestFit="1" customWidth="1"/>
  </cols>
  <sheetData>
    <row r="1" spans="1:87" ht="18" thickBot="1" x14ac:dyDescent="0.3">
      <c r="A1" s="3" t="s">
        <v>0</v>
      </c>
      <c r="B1" s="3">
        <v>27</v>
      </c>
      <c r="C1" s="3" t="s">
        <v>1</v>
      </c>
      <c r="X1" s="29"/>
      <c r="AS1" s="29"/>
      <c r="BN1" s="29"/>
      <c r="BP1" s="106" t="s">
        <v>190</v>
      </c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</row>
    <row r="2" spans="1:87" ht="15.75" thickBot="1" x14ac:dyDescent="0.3">
      <c r="A2" s="3" t="s">
        <v>2</v>
      </c>
      <c r="B2" s="3">
        <v>0</v>
      </c>
      <c r="C2" s="3" t="s">
        <v>3</v>
      </c>
      <c r="E2" s="82" t="s">
        <v>312</v>
      </c>
      <c r="F2" s="83">
        <f>CF38/B13</f>
        <v>3.9004875817866709</v>
      </c>
    </row>
    <row r="3" spans="1:87" ht="15.75" thickBot="1" x14ac:dyDescent="0.3">
      <c r="A3" s="3" t="s">
        <v>4</v>
      </c>
      <c r="B3" s="62">
        <f>30*PI()/180</f>
        <v>0.52359877559829882</v>
      </c>
      <c r="C3" s="3" t="s">
        <v>5</v>
      </c>
      <c r="BP3" s="90" t="s">
        <v>25</v>
      </c>
      <c r="BQ3" s="90"/>
      <c r="BR3" s="90"/>
      <c r="BS3" s="90"/>
      <c r="BT3" s="90"/>
      <c r="BU3" s="90"/>
      <c r="BV3" s="90"/>
      <c r="BW3" s="90"/>
      <c r="BX3" s="90"/>
      <c r="BY3" s="90"/>
      <c r="CA3" s="32" t="s">
        <v>77</v>
      </c>
      <c r="CC3" s="32" t="s">
        <v>78</v>
      </c>
    </row>
    <row r="4" spans="1:87" ht="15.75" thickBot="1" x14ac:dyDescent="0.3">
      <c r="A4" s="3" t="s">
        <v>28</v>
      </c>
      <c r="B4" s="63">
        <f>0*PI()/180</f>
        <v>0</v>
      </c>
      <c r="C4" s="3" t="s">
        <v>5</v>
      </c>
      <c r="E4" s="82" t="s">
        <v>319</v>
      </c>
      <c r="F4" s="83">
        <f>MAX(-((Ca+CF49*TAN(φ1+i_1))*mza+(Cb+CF50*TAN(φ1+i_1))*mzb+(Cc+CF51*TAN(φ1+i_1))*mzc-Fta*nza-Ftb*nzb-Ftc*nzc)/(W+CF49*nza+CF50*nzb+CF51*nzc),0)</f>
        <v>1.9568433390145994</v>
      </c>
      <c r="BP4" s="1">
        <v>0</v>
      </c>
      <c r="BQ4" s="1">
        <f>-mxa*Ks_1-nxa*1*TAN(i_1)</f>
        <v>-2.2414386804201339E-2</v>
      </c>
      <c r="BR4" s="1">
        <f>-kxa*Ks_1</f>
        <v>-4.9999999999999982E-2</v>
      </c>
      <c r="BS4" s="1">
        <f>nxa*1</f>
        <v>0.83651630373780794</v>
      </c>
      <c r="BT4" s="1">
        <f>-mxb*Ks_1-nxb*1*TAN(i_1)</f>
        <v>2.2414386804201328E-2</v>
      </c>
      <c r="BU4" s="1">
        <f>-kxb*Ks_1</f>
        <v>-5.0000000000000044E-2</v>
      </c>
      <c r="BV4" s="1">
        <f>nxb*1</f>
        <v>-0.83651630373780761</v>
      </c>
      <c r="BW4" s="1">
        <f>-mxc*Ks_1-nxc*1*TAN(i_1)</f>
        <v>6.341835064165555E-18</v>
      </c>
      <c r="BX4" s="1">
        <f>-kxc*Ks_1</f>
        <v>0.1</v>
      </c>
      <c r="BY4" s="1">
        <f>nxc*1</f>
        <v>-2.3668050672687681E-16</v>
      </c>
      <c r="CA4" s="79">
        <f>N0a*nxa+N0b*nxb+N0c*nxc+S0a*mxa+S0b*mxb+S0c*mxc+T0a*kxa+T0b*kxb+T0c*kxc-Fta*nxa-Ftb*nxb-Ftc*nxc</f>
        <v>15.570182376865333</v>
      </c>
      <c r="CC4" s="19" cm="1">
        <f t="array" ref="CC4:CC13">MMULT(MINVERSE($BP$4:$BY$13),$CA$4:$CA$13)</f>
        <v>2399.0338920537101</v>
      </c>
      <c r="CH4" s="80" t="s">
        <v>174</v>
      </c>
      <c r="CI4" t="s">
        <v>85</v>
      </c>
    </row>
    <row r="5" spans="1:87" ht="18" x14ac:dyDescent="0.35">
      <c r="A5" s="3" t="s">
        <v>16</v>
      </c>
      <c r="B5" s="3">
        <v>0</v>
      </c>
      <c r="C5" s="3" t="s">
        <v>3</v>
      </c>
      <c r="BP5" s="1">
        <v>0</v>
      </c>
      <c r="BQ5" s="1">
        <f>-mya*Ks_1-nya*1*TAN(i_1)</f>
        <v>1.2940952255126032E-2</v>
      </c>
      <c r="BR5" s="1">
        <f>-kya*Ks_1</f>
        <v>-8.6602540378443879E-2</v>
      </c>
      <c r="BS5" s="1">
        <f>nya*1</f>
        <v>-0.48296291314453393</v>
      </c>
      <c r="BT5" s="1">
        <f>-myb*Ks_1-nyb*1*TAN(i_1)</f>
        <v>1.2940952255126049E-2</v>
      </c>
      <c r="BU5" s="1">
        <f>-kyb*Ks_1</f>
        <v>8.6602540378443837E-2</v>
      </c>
      <c r="BV5" s="1">
        <f>nyb*1</f>
        <v>-0.4829629131445346</v>
      </c>
      <c r="BW5" s="1">
        <f>-myc*Ks_1-nyc*1*TAN(i_1)</f>
        <v>-2.5881904510252074E-2</v>
      </c>
      <c r="BX5" s="1">
        <f>-kyc*Ks_1</f>
        <v>2.4502969098172397E-17</v>
      </c>
      <c r="BY5" s="1">
        <f>nyc*1</f>
        <v>0.96592582628906831</v>
      </c>
      <c r="CA5" s="79">
        <f>N0a*nya+N0b*nyb+N0c*nyc+S0a*mya+S0b*myb+S0c*myc+T0a*kya+T0b*kyb+T0c*kyc-Fta*nya-Ftb*nyb-Ftc*nyc</f>
        <v>598.90563982541084</v>
      </c>
      <c r="CC5" s="19">
        <v>12819.260803642223</v>
      </c>
      <c r="CD5" t="s">
        <v>307</v>
      </c>
      <c r="CE5" s="1">
        <f>(CC5*mxa+CC6*kxa-CC7*nxa)/SQRT(CC5^2+CC6^2+CC7^2)</f>
        <v>-7.5474107542158376E-4</v>
      </c>
      <c r="CF5" s="1">
        <f>(CC5*mya+CC6*kya-CC7*nya)/SQRT(CC5^2+CC6^2+CC7^2)</f>
        <v>-2.9031046376794493E-2</v>
      </c>
      <c r="CG5" s="1">
        <f>(CC5*mza+CC6*kza-CC7*nza)/SQRT(CC5^2+CC6^2+CC7^2)</f>
        <v>-0.99957822540918606</v>
      </c>
      <c r="CH5" s="3" t="str">
        <f>IF(AND(CE5*nxa+CF5*nya+CG5*nza&lt;=0,CE5*nxb+CF5*nyb+CG5*nzb&lt;=0,CE5*nxc+CF5*nyc+CG5*nzc&lt;=0),"ok","wrong")</f>
        <v>ok</v>
      </c>
      <c r="CI5" s="19">
        <f>CC4</f>
        <v>2399.0338920537101</v>
      </c>
    </row>
    <row r="6" spans="1:87" ht="18" x14ac:dyDescent="0.35">
      <c r="A6" s="3" t="s">
        <v>192</v>
      </c>
      <c r="B6" s="61">
        <v>0.1</v>
      </c>
      <c r="C6" s="3"/>
      <c r="N6" s="22" t="s">
        <v>230</v>
      </c>
      <c r="O6" s="77">
        <f>75*PI()/180</f>
        <v>1.3089969389957472</v>
      </c>
      <c r="P6" s="10" t="s">
        <v>5</v>
      </c>
      <c r="Q6" t="s">
        <v>301</v>
      </c>
      <c r="R6">
        <f>σt1*IF(C14=0,SUM(F24:F121),SUM(T24:T121))</f>
        <v>0</v>
      </c>
      <c r="AI6" s="22" t="s">
        <v>258</v>
      </c>
      <c r="AJ6" s="74">
        <f>75*PI()/180</f>
        <v>1.3089969389957472</v>
      </c>
      <c r="AK6" s="10" t="s">
        <v>5</v>
      </c>
      <c r="AL6" t="s">
        <v>303</v>
      </c>
      <c r="AM6">
        <f>σt1*IF(X14=0,SUM(AA24:AA121),SUM(AO24:AO121))</f>
        <v>0</v>
      </c>
      <c r="BD6" s="22" t="s">
        <v>284</v>
      </c>
      <c r="BE6" s="74">
        <f>75*PI()/180</f>
        <v>1.3089969389957472</v>
      </c>
      <c r="BF6" s="10" t="s">
        <v>5</v>
      </c>
      <c r="BG6" t="s">
        <v>305</v>
      </c>
      <c r="BH6">
        <f>σt1*IF(AS14=0,SUM(AV24:AV121),SUM(BJ24:BJ121))</f>
        <v>0</v>
      </c>
      <c r="BP6" s="1">
        <v>-1</v>
      </c>
      <c r="BQ6" s="1">
        <f>-mza*Ks_1-nza*1*TAN(i_1)</f>
        <v>9.659258262890684E-2</v>
      </c>
      <c r="BR6" s="1">
        <f>-kza*Ks_1</f>
        <v>0</v>
      </c>
      <c r="BS6" s="1">
        <f>nza*1</f>
        <v>0.25881904510252074</v>
      </c>
      <c r="BT6" s="1">
        <f>-mzb*Ks_1-nzb*1*TAN(i_1)</f>
        <v>9.659258262890684E-2</v>
      </c>
      <c r="BU6" s="1">
        <f>-kzb*Ks_1</f>
        <v>0</v>
      </c>
      <c r="BV6" s="1">
        <f>nzb*1</f>
        <v>0.25881904510252074</v>
      </c>
      <c r="BW6" s="1">
        <f>-mzc*Ks_1-nzc*1*TAN(i_1)</f>
        <v>9.659258262890684E-2</v>
      </c>
      <c r="BX6" s="1">
        <f>-kzc*Ks_1</f>
        <v>0</v>
      </c>
      <c r="BY6" s="1">
        <f>nzc*1</f>
        <v>0.25881904510252074</v>
      </c>
      <c r="CA6" s="79">
        <f>N0a*nza+N0b*nzb+N0c*nzc+S0a*mza+S0b*mzb+S0c*mzc+T0a*kza+T0b*kzb+T0c*kzc-Fta*nza-Ftb*nzb-Ftc*nzc</f>
        <v>3959.1374404023773</v>
      </c>
      <c r="CC6" s="19">
        <v>-337.5632723300975</v>
      </c>
      <c r="CD6" t="s">
        <v>308</v>
      </c>
      <c r="CE6" s="1">
        <f>(CC8*mxb+CC9*kxb-CC10*nxb)/SQRT(CC8^2+CC9^2+CC10^2)</f>
        <v>-7.5474107542168687E-4</v>
      </c>
      <c r="CF6" s="1">
        <f>(CC8*myb+CC9*kyb-CC10*nyb)/SQRT(CC8^2+CC9^2+CC10^2)</f>
        <v>-2.9031046376794538E-2</v>
      </c>
      <c r="CG6" s="1">
        <f>(CC8*mzb+CC9*kzb-CC10*nzb)/SQRT(CC8^2+CC9^2+CC10^2)</f>
        <v>-0.99957822540918595</v>
      </c>
      <c r="CH6" s="3" t="str">
        <f>IF(AND(CE6*nxa+CF6*nya+CG6*nza&lt;=0,CE6*nxb+CF6*nyb+CG6*nzb&lt;=0,CE6*nxc+CF6*nyc+CG6*nzc&lt;=0),"ok","wrong")</f>
        <v>ok</v>
      </c>
    </row>
    <row r="7" spans="1:87" ht="18" x14ac:dyDescent="0.35">
      <c r="A7" s="3" t="s">
        <v>7</v>
      </c>
      <c r="B7" s="3">
        <v>100</v>
      </c>
      <c r="C7" s="3" t="s">
        <v>8</v>
      </c>
      <c r="N7" s="18" t="s">
        <v>231</v>
      </c>
      <c r="O7" s="78">
        <f>120*PI()/180</f>
        <v>2.0943951023931953</v>
      </c>
      <c r="P7" s="25" t="s">
        <v>5</v>
      </c>
      <c r="Q7" t="s">
        <v>302</v>
      </c>
      <c r="R7">
        <f>c_1*IF(C14=0,SUM(F24:F121),SUM(T24:T121))</f>
        <v>0</v>
      </c>
      <c r="AI7" s="18" t="s">
        <v>259</v>
      </c>
      <c r="AJ7" s="5">
        <f>240*PI()/180</f>
        <v>4.1887902047863905</v>
      </c>
      <c r="AK7" s="25" t="s">
        <v>5</v>
      </c>
      <c r="AL7" t="s">
        <v>304</v>
      </c>
      <c r="AM7">
        <f>c_1*IF(C14=0,SUM(AA24:AA121),SUM(AO24:AO121))</f>
        <v>0</v>
      </c>
      <c r="BD7" s="18" t="s">
        <v>285</v>
      </c>
      <c r="BE7" s="5">
        <f>360*PI()/180</f>
        <v>6.2831853071795862</v>
      </c>
      <c r="BF7" s="25" t="s">
        <v>5</v>
      </c>
      <c r="BG7" t="s">
        <v>306</v>
      </c>
      <c r="BH7">
        <f>c_1*IF(AS14=0,SUM(AV24:AV121),SUM(BJ24:BJ121))</f>
        <v>0</v>
      </c>
      <c r="BP7" s="1">
        <v>0</v>
      </c>
      <c r="BQ7" s="1">
        <f>mxa</f>
        <v>0.22414386804201339</v>
      </c>
      <c r="BR7" s="1">
        <f>kxa</f>
        <v>0.49999999999999978</v>
      </c>
      <c r="BS7" s="1">
        <f>-nxa</f>
        <v>-0.83651630373780794</v>
      </c>
      <c r="BT7" s="1">
        <f>-mxb</f>
        <v>0.22414386804201328</v>
      </c>
      <c r="BU7" s="1">
        <f>-kxb</f>
        <v>-0.50000000000000044</v>
      </c>
      <c r="BV7" s="1">
        <f>nxb</f>
        <v>-0.83651630373780761</v>
      </c>
      <c r="BW7" s="1">
        <v>0</v>
      </c>
      <c r="BX7" s="1">
        <v>0</v>
      </c>
      <c r="BY7" s="1">
        <v>0</v>
      </c>
      <c r="CA7" s="1">
        <v>0</v>
      </c>
      <c r="CC7" s="19">
        <v>3245.0780815299236</v>
      </c>
      <c r="CD7" t="s">
        <v>309</v>
      </c>
      <c r="CE7" s="1">
        <f>(CC11*mxc+CC12*kxc-CC13*nxc)/SQRT(CC11^2+CC12^2+CC13^2)</f>
        <v>-7.5474107542172362E-4</v>
      </c>
      <c r="CF7" s="1">
        <f>(CC11*myc+CC12*kyc-CC13*nyc)/SQRT(CC11^2+CC12^2+CC13^2)</f>
        <v>-2.9031046376794489E-2</v>
      </c>
      <c r="CG7" s="1">
        <f>(CC11*mzc+CC12*kzc-CC13*nzc)/SQRT(CC11^2+CC12^2+CC13^2)</f>
        <v>-0.99957822540918595</v>
      </c>
      <c r="CH7" s="3" t="str">
        <f>IF(AND(CE7*nxa+CF7*nya+CG7*nza&lt;=0,CE7*nxb+CF7*nyb+CG7*nzb&lt;=0,CE7*nxc+CF7*nyc+CG7*nzc&lt;=0),"ok","wrong")</f>
        <v>ok</v>
      </c>
    </row>
    <row r="8" spans="1:87" ht="18" x14ac:dyDescent="0.35">
      <c r="A8" s="3" t="s">
        <v>9</v>
      </c>
      <c r="B8" s="38">
        <f>γ*z/1000</f>
        <v>2.7</v>
      </c>
      <c r="C8" s="3" t="s">
        <v>10</v>
      </c>
      <c r="N8" s="18" t="s">
        <v>226</v>
      </c>
      <c r="O8" s="3" t="s">
        <v>227</v>
      </c>
      <c r="P8" s="25" t="s">
        <v>232</v>
      </c>
      <c r="T8" s="14"/>
      <c r="AI8" s="18" t="s">
        <v>260</v>
      </c>
      <c r="AJ8" s="3" t="s">
        <v>261</v>
      </c>
      <c r="AK8" s="25" t="s">
        <v>262</v>
      </c>
      <c r="BD8" s="18" t="s">
        <v>286</v>
      </c>
      <c r="BE8" s="3" t="s">
        <v>287</v>
      </c>
      <c r="BF8" s="25" t="s">
        <v>288</v>
      </c>
      <c r="BP8" s="1">
        <v>0</v>
      </c>
      <c r="BQ8" s="1">
        <f>mya</f>
        <v>-0.12940952255126031</v>
      </c>
      <c r="BR8" s="1">
        <f>kya</f>
        <v>0.86602540378443871</v>
      </c>
      <c r="BS8" s="1">
        <f>-nya</f>
        <v>0.48296291314453393</v>
      </c>
      <c r="BT8" s="1">
        <f>-myb</f>
        <v>0.12940952255126048</v>
      </c>
      <c r="BU8" s="1">
        <f>-kyb</f>
        <v>0.86602540378443837</v>
      </c>
      <c r="BV8" s="1">
        <f>nyb</f>
        <v>-0.4829629131445346</v>
      </c>
      <c r="BW8" s="1">
        <v>0</v>
      </c>
      <c r="BX8" s="1">
        <v>0</v>
      </c>
      <c r="BY8" s="1">
        <v>0</v>
      </c>
      <c r="CA8" s="1">
        <v>0</v>
      </c>
      <c r="CC8" s="19">
        <v>12823.736354322478</v>
      </c>
    </row>
    <row r="9" spans="1:87" x14ac:dyDescent="0.25">
      <c r="A9" s="3" t="s">
        <v>11</v>
      </c>
      <c r="B9" s="61">
        <v>0.3</v>
      </c>
      <c r="C9" s="3" t="s">
        <v>10</v>
      </c>
      <c r="N9" s="68">
        <f>SIN(dipa)*SIN(dira)</f>
        <v>0.83651630373780794</v>
      </c>
      <c r="O9" s="69">
        <f>SIN(dipa)*COS(dira)</f>
        <v>-0.48296291314453393</v>
      </c>
      <c r="P9" s="70">
        <f>COS(dipa)</f>
        <v>0.25881904510252074</v>
      </c>
      <c r="AI9" s="68">
        <f>SIN(dipb)*SIN(dirb)</f>
        <v>-0.83651630373780761</v>
      </c>
      <c r="AJ9" s="69">
        <f>SIN(dipb)*COS(dirb)</f>
        <v>-0.4829629131445346</v>
      </c>
      <c r="AK9" s="70">
        <f>COS(dipb)</f>
        <v>0.25881904510252074</v>
      </c>
      <c r="BD9" s="68">
        <f>SIN(dipc)*SIN(dirc)</f>
        <v>-2.3668050672687681E-16</v>
      </c>
      <c r="BE9" s="69">
        <f>SIN(dipc)*COS(dirc)</f>
        <v>0.96592582628906831</v>
      </c>
      <c r="BF9" s="70">
        <f>COS(dipc)</f>
        <v>0.25881904510252074</v>
      </c>
      <c r="BP9" s="1">
        <v>0</v>
      </c>
      <c r="BQ9" s="1">
        <f>mza</f>
        <v>-0.96592582628906831</v>
      </c>
      <c r="BR9" s="1">
        <f>kza</f>
        <v>0</v>
      </c>
      <c r="BS9" s="1">
        <f>-nza</f>
        <v>-0.25881904510252074</v>
      </c>
      <c r="BT9" s="1">
        <f>-mzb</f>
        <v>0.96592582628906831</v>
      </c>
      <c r="BU9" s="1">
        <f>-kzb</f>
        <v>0</v>
      </c>
      <c r="BV9" s="1">
        <f>nzb</f>
        <v>0.25881904510252074</v>
      </c>
      <c r="BW9" s="1">
        <v>0</v>
      </c>
      <c r="BX9" s="1">
        <v>0</v>
      </c>
      <c r="BY9" s="1">
        <v>0</v>
      </c>
      <c r="CA9" s="1">
        <v>0</v>
      </c>
      <c r="CC9" s="19">
        <v>327.57961603079673</v>
      </c>
    </row>
    <row r="10" spans="1:87" ht="18" x14ac:dyDescent="0.35">
      <c r="A10" s="3" t="s">
        <v>12</v>
      </c>
      <c r="B10" s="3">
        <v>4</v>
      </c>
      <c r="C10" s="3" t="s">
        <v>8</v>
      </c>
      <c r="N10" s="18" t="s">
        <v>228</v>
      </c>
      <c r="O10" s="3" t="s">
        <v>229</v>
      </c>
      <c r="P10" s="25" t="s">
        <v>233</v>
      </c>
      <c r="AI10" s="18" t="s">
        <v>263</v>
      </c>
      <c r="AJ10" s="3" t="s">
        <v>264</v>
      </c>
      <c r="AK10" s="25" t="s">
        <v>265</v>
      </c>
      <c r="BD10" s="18" t="s">
        <v>289</v>
      </c>
      <c r="BE10" s="3" t="s">
        <v>290</v>
      </c>
      <c r="BF10" s="25" t="s">
        <v>291</v>
      </c>
      <c r="BP10" s="1">
        <v>0</v>
      </c>
      <c r="BQ10" s="1">
        <f>mxa</f>
        <v>0.22414386804201339</v>
      </c>
      <c r="BR10" s="1">
        <f>kxa</f>
        <v>0.49999999999999978</v>
      </c>
      <c r="BS10" s="1">
        <f>-nxa</f>
        <v>-0.83651630373780794</v>
      </c>
      <c r="BT10" s="1">
        <v>0</v>
      </c>
      <c r="BU10" s="1">
        <v>0</v>
      </c>
      <c r="BV10" s="1">
        <v>0</v>
      </c>
      <c r="BW10" s="1">
        <f>-mxc</f>
        <v>6.3418350641655545E-17</v>
      </c>
      <c r="BX10" s="1">
        <f>-kxc</f>
        <v>1</v>
      </c>
      <c r="BY10" s="1">
        <f>nxc</f>
        <v>-2.3668050672687681E-16</v>
      </c>
      <c r="CA10" s="1">
        <v>0</v>
      </c>
      <c r="CC10" s="19">
        <v>3228.3750989993632</v>
      </c>
    </row>
    <row r="11" spans="1:87" x14ac:dyDescent="0.25">
      <c r="A11" s="3" t="s">
        <v>223</v>
      </c>
      <c r="B11">
        <v>0.3</v>
      </c>
      <c r="F11" s="1"/>
      <c r="N11" s="68">
        <f>COS(dipa)*SIN(dira)</f>
        <v>0.22414386804201339</v>
      </c>
      <c r="O11" s="69">
        <f>COS(dipa)*COS(dira)</f>
        <v>-0.12940952255126031</v>
      </c>
      <c r="P11" s="70">
        <f>-SIN(dipa)</f>
        <v>-0.96592582628906831</v>
      </c>
      <c r="AI11" s="68">
        <f>COS(dipb)*SIN(dirb)</f>
        <v>-0.22414386804201328</v>
      </c>
      <c r="AJ11" s="69">
        <f>COS(dipb)*COS(dirb)</f>
        <v>-0.12940952255126048</v>
      </c>
      <c r="AK11" s="70">
        <f>-SIN(dipb)</f>
        <v>-0.96592582628906831</v>
      </c>
      <c r="BD11" s="68">
        <f>COS(dipc)*SIN(dirc)</f>
        <v>-6.3418350641655545E-17</v>
      </c>
      <c r="BE11" s="69">
        <f>COS(dipc)*COS(dirc)</f>
        <v>0.25881904510252074</v>
      </c>
      <c r="BF11" s="70">
        <f>-SIN(dipc)</f>
        <v>-0.96592582628906831</v>
      </c>
      <c r="BP11" s="1">
        <v>0</v>
      </c>
      <c r="BQ11" s="1">
        <f>mya</f>
        <v>-0.12940952255126031</v>
      </c>
      <c r="BR11" s="1">
        <f>kya</f>
        <v>0.86602540378443871</v>
      </c>
      <c r="BS11" s="1">
        <f>-nya</f>
        <v>0.48296291314453393</v>
      </c>
      <c r="BT11" s="1">
        <v>0</v>
      </c>
      <c r="BU11" s="1">
        <v>0</v>
      </c>
      <c r="BV11" s="1">
        <v>0</v>
      </c>
      <c r="BW11" s="1">
        <f>-myc</f>
        <v>-0.25881904510252074</v>
      </c>
      <c r="BX11" s="1">
        <f>-kyc</f>
        <v>2.4502969098172395E-16</v>
      </c>
      <c r="BY11" s="1">
        <f>nyc</f>
        <v>0.96592582628906831</v>
      </c>
      <c r="CA11" s="1">
        <v>0</v>
      </c>
      <c r="CC11" s="19">
        <v>12672.410879184503</v>
      </c>
    </row>
    <row r="12" spans="1:87" ht="18.75" x14ac:dyDescent="0.35">
      <c r="A12" s="3" t="s">
        <v>310</v>
      </c>
      <c r="B12">
        <v>22.78</v>
      </c>
      <c r="C12" s="3" t="s">
        <v>311</v>
      </c>
      <c r="N12" s="18" t="s">
        <v>234</v>
      </c>
      <c r="O12" s="3" t="s">
        <v>235</v>
      </c>
      <c r="P12" s="25" t="s">
        <v>236</v>
      </c>
      <c r="AI12" s="18" t="s">
        <v>266</v>
      </c>
      <c r="AJ12" s="3" t="s">
        <v>267</v>
      </c>
      <c r="AK12" s="25" t="s">
        <v>268</v>
      </c>
      <c r="BD12" s="18" t="s">
        <v>292</v>
      </c>
      <c r="BE12" s="3" t="s">
        <v>293</v>
      </c>
      <c r="BF12" s="25" t="s">
        <v>294</v>
      </c>
      <c r="BP12" s="1">
        <v>0</v>
      </c>
      <c r="BQ12" s="1">
        <f>mza</f>
        <v>-0.96592582628906831</v>
      </c>
      <c r="BR12" s="1">
        <f>kza</f>
        <v>0</v>
      </c>
      <c r="BS12" s="1">
        <f>-nza</f>
        <v>-0.25881904510252074</v>
      </c>
      <c r="BT12" s="1">
        <v>0</v>
      </c>
      <c r="BU12" s="1">
        <v>0</v>
      </c>
      <c r="BV12" s="1">
        <v>0</v>
      </c>
      <c r="BW12" s="1">
        <f>-mzc</f>
        <v>0.96592582628906831</v>
      </c>
      <c r="BX12" s="1">
        <f>-kzc</f>
        <v>0</v>
      </c>
      <c r="BY12" s="1">
        <f>nzc</f>
        <v>0.25881904510252074</v>
      </c>
      <c r="CA12" s="1">
        <v>0</v>
      </c>
      <c r="CC12" s="19">
        <v>9.9836562993019822</v>
      </c>
    </row>
    <row r="13" spans="1:87" x14ac:dyDescent="0.25">
      <c r="A13" s="3" t="s">
        <v>21</v>
      </c>
      <c r="B13">
        <f>B12*γ</f>
        <v>615.06000000000006</v>
      </c>
      <c r="C13" s="3" t="s">
        <v>238</v>
      </c>
      <c r="N13" s="71">
        <f>nya*mza-mya*nza</f>
        <v>0.49999999999999978</v>
      </c>
      <c r="O13" s="72">
        <f>nza*mxa-nxa*mza</f>
        <v>0.86602540378443871</v>
      </c>
      <c r="P13" s="73">
        <f>nxa*mya-mxa*nya</f>
        <v>0</v>
      </c>
      <c r="AI13" s="71">
        <f>nyb*mzb-myb*nzb</f>
        <v>0.50000000000000044</v>
      </c>
      <c r="AJ13" s="72">
        <f>nzb*mxb-nxb*mzb</f>
        <v>-0.86602540378443837</v>
      </c>
      <c r="AK13" s="73">
        <f>nxb*myb-mxb*nyb</f>
        <v>0</v>
      </c>
      <c r="BD13" s="71">
        <f>nyc*mzc-myc*nzc</f>
        <v>-1</v>
      </c>
      <c r="BE13" s="72">
        <f>nzc*mxc-nxc*mzc</f>
        <v>-2.4502969098172395E-16</v>
      </c>
      <c r="BF13" s="73">
        <f>nxc*myc-mxc*nyc</f>
        <v>0</v>
      </c>
      <c r="BP13" s="1">
        <v>0</v>
      </c>
      <c r="BQ13" s="1">
        <f>Ks_1-1*TAN(i_1)*TAN(φ1)</f>
        <v>0.1</v>
      </c>
      <c r="BR13" s="1">
        <v>0</v>
      </c>
      <c r="BS13" s="1">
        <f>1*TAN(φ1)</f>
        <v>0.57735026918962573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CA13" s="16">
        <f>N0a*TAN(φ1)-S0a+Ca</f>
        <v>3155.4727842768789</v>
      </c>
      <c r="CC13" s="19">
        <v>3793.1294606937881</v>
      </c>
    </row>
    <row r="14" spans="1:87" ht="18" x14ac:dyDescent="0.35">
      <c r="A14" s="100" t="s">
        <v>17</v>
      </c>
      <c r="B14" s="101"/>
      <c r="C14" s="11">
        <v>1</v>
      </c>
      <c r="N14" s="12" t="s">
        <v>239</v>
      </c>
      <c r="O14" s="26">
        <f>MAX(IF(C14=0,SUM(Q24:Q203),O17),0)</f>
        <v>10540.868303627718</v>
      </c>
      <c r="P14" s="7" t="s">
        <v>238</v>
      </c>
      <c r="AI14" s="12" t="s">
        <v>278</v>
      </c>
      <c r="AJ14" s="26">
        <f>MAX(IF(X14=0,SUM(AL24:AL203),AJ17),0)</f>
        <v>10529.162398028697</v>
      </c>
      <c r="AK14" s="7" t="s">
        <v>238</v>
      </c>
      <c r="BD14" s="12" t="s">
        <v>295</v>
      </c>
      <c r="BE14" s="26">
        <f>MAX(IF(AS14=0,SUM(BG24:BG203),BE17),0)</f>
        <v>9819.0736711325135</v>
      </c>
      <c r="BF14" s="7" t="s">
        <v>238</v>
      </c>
    </row>
    <row r="15" spans="1:87" ht="18" x14ac:dyDescent="0.35">
      <c r="N15" s="27" t="s">
        <v>244</v>
      </c>
      <c r="O15" s="28">
        <f>MAX(IF(C14=0,SUM(R24:R203),O18),0)</f>
        <v>2930.3003683149773</v>
      </c>
      <c r="P15" s="7" t="s">
        <v>238</v>
      </c>
      <c r="AG15" s="1"/>
      <c r="AI15" s="27" t="s">
        <v>279</v>
      </c>
      <c r="AJ15" s="28">
        <f>MAX(IF(C14=0,SUM(AM24:AM203),AJ18),0)</f>
        <v>2922.047509465066</v>
      </c>
      <c r="AK15" s="7" t="s">
        <v>238</v>
      </c>
      <c r="BD15" s="27" t="s">
        <v>296</v>
      </c>
      <c r="BE15" s="28">
        <f>(IF(AS14=0,SUM(BH24:BH203),BE18))</f>
        <v>-1674.4379931889157</v>
      </c>
      <c r="BF15" s="7" t="s">
        <v>238</v>
      </c>
    </row>
    <row r="16" spans="1:87" ht="18" x14ac:dyDescent="0.35">
      <c r="N16" s="27" t="s">
        <v>245</v>
      </c>
      <c r="O16" s="28">
        <f>IF(C14=0,SUM(S24:S203),O19)</f>
        <v>1436.4264882852287</v>
      </c>
      <c r="P16" s="7" t="s">
        <v>238</v>
      </c>
      <c r="AI16" s="27" t="s">
        <v>280</v>
      </c>
      <c r="AJ16" s="28">
        <f>IF(X14=0,SUM(AN24:AN203),AJ19)</f>
        <v>-1428.5912983359362</v>
      </c>
      <c r="AK16" s="7" t="s">
        <v>238</v>
      </c>
      <c r="BD16" s="27" t="s">
        <v>297</v>
      </c>
      <c r="BE16" s="28">
        <f>IF(AS14=0,SUM(BI24:BI203),BE19)</f>
        <v>-1.0578813598059789E-2</v>
      </c>
      <c r="BF16" s="7" t="s">
        <v>238</v>
      </c>
      <c r="BP16" s="90" t="s">
        <v>80</v>
      </c>
      <c r="BQ16" s="90"/>
      <c r="BR16" s="90"/>
      <c r="BS16" s="90"/>
      <c r="BT16" s="90"/>
      <c r="BU16" s="90"/>
      <c r="BV16" s="90"/>
      <c r="BW16" s="90"/>
      <c r="BX16" s="90"/>
      <c r="BY16" s="90"/>
      <c r="CA16" s="32" t="s">
        <v>81</v>
      </c>
      <c r="CC16" s="32" t="s">
        <v>82</v>
      </c>
    </row>
    <row r="17" spans="1:87" ht="18" x14ac:dyDescent="0.35">
      <c r="N17" s="12" t="s">
        <v>249</v>
      </c>
      <c r="O17" s="75">
        <f>SUM(U24:U203)</f>
        <v>10540.868303627718</v>
      </c>
      <c r="P17" s="7" t="s">
        <v>238</v>
      </c>
      <c r="AI17" s="12" t="s">
        <v>281</v>
      </c>
      <c r="AJ17" s="75">
        <f>SUM(AP24:AP203)</f>
        <v>10530.356563477391</v>
      </c>
      <c r="AK17" s="7" t="s">
        <v>238</v>
      </c>
      <c r="BD17" s="12" t="s">
        <v>298</v>
      </c>
      <c r="BE17" s="75">
        <f>SUM(BK24:BK203)</f>
        <v>9820.0871423183744</v>
      </c>
      <c r="BF17" s="7" t="s">
        <v>238</v>
      </c>
      <c r="BP17" s="1">
        <f>BP4</f>
        <v>0</v>
      </c>
      <c r="BQ17" s="1">
        <f t="shared" ref="BQ17:BY17" si="0">BQ4</f>
        <v>-2.2414386804201339E-2</v>
      </c>
      <c r="BR17" s="1">
        <f t="shared" si="0"/>
        <v>-4.9999999999999982E-2</v>
      </c>
      <c r="BS17" s="1">
        <f t="shared" si="0"/>
        <v>0.83651630373780794</v>
      </c>
      <c r="BT17" s="1">
        <f t="shared" si="0"/>
        <v>2.2414386804201328E-2</v>
      </c>
      <c r="BU17" s="1">
        <f t="shared" si="0"/>
        <v>-5.0000000000000044E-2</v>
      </c>
      <c r="BV17" s="1">
        <f t="shared" si="0"/>
        <v>-0.83651630373780761</v>
      </c>
      <c r="BW17" s="1">
        <f t="shared" si="0"/>
        <v>6.341835064165555E-18</v>
      </c>
      <c r="BX17" s="1">
        <f t="shared" si="0"/>
        <v>0.1</v>
      </c>
      <c r="BY17" s="1">
        <f t="shared" si="0"/>
        <v>-2.3668050672687681E-16</v>
      </c>
      <c r="CA17" s="16">
        <f>CA4</f>
        <v>15.570182376865333</v>
      </c>
      <c r="CC17" s="19" cm="1">
        <f t="array" ref="CC17:CC26">MMULT(MINVERSE($BP$17:$BY$26),$CA$17:$CA$26)</f>
        <v>2419.928912395143</v>
      </c>
      <c r="CH17" s="80" t="s">
        <v>174</v>
      </c>
    </row>
    <row r="18" spans="1:87" ht="18" x14ac:dyDescent="0.35">
      <c r="N18" s="12" t="s">
        <v>250</v>
      </c>
      <c r="O18" s="76">
        <f>SUM(V24:V203)</f>
        <v>2930.3003683149773</v>
      </c>
      <c r="P18" s="7" t="s">
        <v>238</v>
      </c>
      <c r="AI18" s="12" t="s">
        <v>282</v>
      </c>
      <c r="AJ18" s="76">
        <f>SUM(AQ24:AQ203)</f>
        <v>2922.047509465066</v>
      </c>
      <c r="AK18" s="7" t="s">
        <v>238</v>
      </c>
      <c r="BD18" s="12" t="s">
        <v>299</v>
      </c>
      <c r="BE18" s="76">
        <f>SUM(BL24:BL203)</f>
        <v>-1674.0341622610738</v>
      </c>
      <c r="BF18" s="7" t="s">
        <v>238</v>
      </c>
      <c r="BP18" s="1">
        <f t="shared" ref="BP18:BY18" si="1">BP5</f>
        <v>0</v>
      </c>
      <c r="BQ18" s="1">
        <f t="shared" si="1"/>
        <v>1.2940952255126032E-2</v>
      </c>
      <c r="BR18" s="1">
        <f t="shared" si="1"/>
        <v>-8.6602540378443879E-2</v>
      </c>
      <c r="BS18" s="1">
        <f t="shared" si="1"/>
        <v>-0.48296291314453393</v>
      </c>
      <c r="BT18" s="1">
        <f t="shared" si="1"/>
        <v>1.2940952255126049E-2</v>
      </c>
      <c r="BU18" s="1">
        <f t="shared" si="1"/>
        <v>8.6602540378443837E-2</v>
      </c>
      <c r="BV18" s="1">
        <f t="shared" si="1"/>
        <v>-0.4829629131445346</v>
      </c>
      <c r="BW18" s="1">
        <f t="shared" si="1"/>
        <v>-2.5881904510252074E-2</v>
      </c>
      <c r="BX18" s="1">
        <f t="shared" si="1"/>
        <v>2.4502969098172397E-17</v>
      </c>
      <c r="BY18" s="1">
        <f t="shared" si="1"/>
        <v>0.96592582628906831</v>
      </c>
      <c r="CA18" s="16">
        <f t="shared" ref="CA18:CA25" si="2">CA5</f>
        <v>598.90563982541084</v>
      </c>
      <c r="CC18" s="19">
        <v>12861.233103981669</v>
      </c>
      <c r="CD18" t="s">
        <v>307</v>
      </c>
      <c r="CE18" s="1">
        <f>(CC18*mxa+CC19*kxa-CC20*nxa)/SQRT(CC18^2+CC19^2+CC20^2)</f>
        <v>-7.5227094982161901E-4</v>
      </c>
      <c r="CF18" s="1">
        <f>(CC18*mya+CC19*kya-CC20*nya)/SQRT(CC18^2+CC19^2+CC20^2)</f>
        <v>-2.893603322170547E-2</v>
      </c>
      <c r="CG18" s="1">
        <f>(CC18*mza+CC19*kza-CC20*nza)/SQRT(CC18^2+CC19^2+CC20^2)</f>
        <v>-0.99958098224696645</v>
      </c>
      <c r="CH18" s="3" t="str">
        <f>IF(AND(CE18*nxa+CF18*nya+CG18*nza&lt;=0,CE18*nxb+CF18*nyb+CG18*nzb&lt;=0,CE18*nxc+CF18*nyc+CG18*nzc&lt;=0),"ok","wrong")</f>
        <v>ok</v>
      </c>
      <c r="CI18" s="19">
        <f>CC17</f>
        <v>2419.928912395143</v>
      </c>
    </row>
    <row r="19" spans="1:87" ht="18" x14ac:dyDescent="0.35">
      <c r="N19" s="12" t="s">
        <v>251</v>
      </c>
      <c r="O19" s="76">
        <f>SUM(W24:W203)</f>
        <v>1436.4264882852287</v>
      </c>
      <c r="P19" s="7" t="s">
        <v>238</v>
      </c>
      <c r="AI19" s="12" t="s">
        <v>283</v>
      </c>
      <c r="AJ19" s="76">
        <f>SUM(AR24:AR203)</f>
        <v>-1431.260515835876</v>
      </c>
      <c r="AK19" s="7" t="s">
        <v>238</v>
      </c>
      <c r="BD19" s="12" t="s">
        <v>300</v>
      </c>
      <c r="BE19" s="76">
        <f>SUM(BM24:BM203)</f>
        <v>0.14034037699714386</v>
      </c>
      <c r="BF19" s="7" t="s">
        <v>238</v>
      </c>
      <c r="BP19" s="1">
        <f t="shared" ref="BP19:BY19" si="3">BP6</f>
        <v>-1</v>
      </c>
      <c r="BQ19" s="1">
        <f t="shared" si="3"/>
        <v>9.659258262890684E-2</v>
      </c>
      <c r="BR19" s="1">
        <f t="shared" si="3"/>
        <v>0</v>
      </c>
      <c r="BS19" s="1">
        <f t="shared" si="3"/>
        <v>0.25881904510252074</v>
      </c>
      <c r="BT19" s="1">
        <f t="shared" si="3"/>
        <v>9.659258262890684E-2</v>
      </c>
      <c r="BU19" s="1">
        <f t="shared" si="3"/>
        <v>0</v>
      </c>
      <c r="BV19" s="1">
        <f t="shared" si="3"/>
        <v>0.25881904510252074</v>
      </c>
      <c r="BW19" s="1">
        <f t="shared" si="3"/>
        <v>9.659258262890684E-2</v>
      </c>
      <c r="BX19" s="1">
        <f t="shared" si="3"/>
        <v>0</v>
      </c>
      <c r="BY19" s="1">
        <f t="shared" si="3"/>
        <v>0.25881904510252074</v>
      </c>
      <c r="CA19" s="16">
        <f t="shared" si="2"/>
        <v>3959.1374404023773</v>
      </c>
      <c r="CC19" s="19">
        <v>-337.5632723300975</v>
      </c>
      <c r="CD19" t="s">
        <v>308</v>
      </c>
      <c r="CE19" s="1">
        <f>(CC21*mxb+CC22*kxb-CC23*nxb)/SQRT(CC21^2+CC22^2+CC23^2)</f>
        <v>-7.5227094982165317E-4</v>
      </c>
      <c r="CF19" s="1">
        <f>(CC21*myb+CC22*kyb-CC23*nyb)/SQRT(CC21^2+CC22^2+CC23^2)</f>
        <v>-2.8936033221705484E-2</v>
      </c>
      <c r="CG19" s="1">
        <f>(CC21*mzb+CC22*kzb-CC23*nzb)/SQRT(CC21^2+CC22^2+CC23^2)</f>
        <v>-0.99958098224696645</v>
      </c>
      <c r="CH19" s="3" t="str">
        <f>IF(AND(CE19*nxa+CF19*nya+CG19*nza&lt;=0,CE19*nxb+CF19*nyb+CG19*nzb&lt;=0,CE19*nxc+CF19*nyc+CG19*nzc&lt;=0),"ok","wrong")</f>
        <v>ok</v>
      </c>
    </row>
    <row r="20" spans="1:87" ht="15.75" thickBot="1" x14ac:dyDescent="0.3">
      <c r="BP20" s="1">
        <f t="shared" ref="BP20:BY20" si="4">BP7</f>
        <v>0</v>
      </c>
      <c r="BQ20" s="1">
        <f t="shared" si="4"/>
        <v>0.22414386804201339</v>
      </c>
      <c r="BR20" s="1">
        <f t="shared" si="4"/>
        <v>0.49999999999999978</v>
      </c>
      <c r="BS20" s="1">
        <f t="shared" si="4"/>
        <v>-0.83651630373780794</v>
      </c>
      <c r="BT20" s="1">
        <f t="shared" si="4"/>
        <v>0.22414386804201328</v>
      </c>
      <c r="BU20" s="1">
        <f t="shared" si="4"/>
        <v>-0.50000000000000044</v>
      </c>
      <c r="BV20" s="1">
        <f t="shared" si="4"/>
        <v>-0.83651630373780761</v>
      </c>
      <c r="BW20" s="1">
        <f t="shared" si="4"/>
        <v>0</v>
      </c>
      <c r="BX20" s="1">
        <f t="shared" si="4"/>
        <v>0</v>
      </c>
      <c r="BY20" s="1">
        <f t="shared" si="4"/>
        <v>0</v>
      </c>
      <c r="CA20" s="16">
        <f t="shared" si="2"/>
        <v>0</v>
      </c>
      <c r="CC20" s="19">
        <v>3256.3245255103557</v>
      </c>
      <c r="CD20" t="s">
        <v>309</v>
      </c>
      <c r="CE20" s="1">
        <f>(CC24*mxc+CC25*kxc-CC26*nxc)/SQRT(CC24^2+CC25^2+CC26^2)</f>
        <v>-7.5227094982169035E-4</v>
      </c>
      <c r="CF20" s="1">
        <f>(CC24*myc+CC25*kyc-CC26*nyc)/SQRT(CC24^2+CC25^2+CC26^2)</f>
        <v>-2.8936033221705487E-2</v>
      </c>
      <c r="CG20" s="1">
        <f>(CC24*mzc+CC25*kzc-CC26*nzc)/SQRT(CC24^2+CC25^2+CC26^2)</f>
        <v>-0.99958098224696657</v>
      </c>
      <c r="CH20" s="3" t="str">
        <f>IF(AND(CE20*nxa+CF20*nya+CG20*nza&lt;=0,CE20*nxb+CF20*nyb+CG20*nzb&lt;=0,CE20*nxc+CF20*nyc+CG20*nzc&lt;=0),"ok","wrong")</f>
        <v>ok</v>
      </c>
    </row>
    <row r="21" spans="1:87" ht="15.75" thickBot="1" x14ac:dyDescent="0.3">
      <c r="A21" s="97" t="s">
        <v>90</v>
      </c>
      <c r="B21" s="102"/>
      <c r="C21" s="99"/>
      <c r="D21" s="97" t="s">
        <v>113</v>
      </c>
      <c r="E21" s="102"/>
      <c r="F21" s="99"/>
      <c r="G21" s="97" t="s">
        <v>114</v>
      </c>
      <c r="H21" s="102"/>
      <c r="I21" s="99"/>
      <c r="J21" s="97" t="s">
        <v>115</v>
      </c>
      <c r="K21" s="102"/>
      <c r="L21" s="102"/>
      <c r="M21" s="99"/>
      <c r="N21" s="97" t="s">
        <v>116</v>
      </c>
      <c r="O21" s="102"/>
      <c r="P21" s="99"/>
      <c r="Q21" s="8" t="s">
        <v>117</v>
      </c>
      <c r="R21" s="97" t="s">
        <v>240</v>
      </c>
      <c r="S21" s="99"/>
      <c r="T21" s="97" t="s">
        <v>119</v>
      </c>
      <c r="U21" s="102"/>
      <c r="V21" s="102"/>
      <c r="W21" s="99"/>
      <c r="Y21" s="97" t="s">
        <v>113</v>
      </c>
      <c r="Z21" s="102"/>
      <c r="AA21" s="99"/>
      <c r="AB21" s="97" t="s">
        <v>114</v>
      </c>
      <c r="AC21" s="102"/>
      <c r="AD21" s="99"/>
      <c r="AE21" s="97" t="s">
        <v>115</v>
      </c>
      <c r="AF21" s="102"/>
      <c r="AG21" s="102"/>
      <c r="AH21" s="99"/>
      <c r="AI21" s="97" t="s">
        <v>116</v>
      </c>
      <c r="AJ21" s="102"/>
      <c r="AK21" s="99"/>
      <c r="AL21" s="8" t="s">
        <v>117</v>
      </c>
      <c r="AM21" s="97" t="s">
        <v>240</v>
      </c>
      <c r="AN21" s="99"/>
      <c r="AO21" s="97" t="s">
        <v>119</v>
      </c>
      <c r="AP21" s="102"/>
      <c r="AQ21" s="102"/>
      <c r="AR21" s="99"/>
      <c r="AT21" s="97" t="s">
        <v>113</v>
      </c>
      <c r="AU21" s="102"/>
      <c r="AV21" s="99"/>
      <c r="AW21" s="97" t="s">
        <v>114</v>
      </c>
      <c r="AX21" s="102"/>
      <c r="AY21" s="99"/>
      <c r="AZ21" s="97" t="s">
        <v>115</v>
      </c>
      <c r="BA21" s="102"/>
      <c r="BB21" s="102"/>
      <c r="BC21" s="99"/>
      <c r="BD21" s="97" t="s">
        <v>116</v>
      </c>
      <c r="BE21" s="102"/>
      <c r="BF21" s="99"/>
      <c r="BG21" s="8" t="s">
        <v>117</v>
      </c>
      <c r="BH21" s="97" t="s">
        <v>240</v>
      </c>
      <c r="BI21" s="99"/>
      <c r="BJ21" s="97" t="s">
        <v>119</v>
      </c>
      <c r="BK21" s="102"/>
      <c r="BL21" s="102"/>
      <c r="BM21" s="99"/>
      <c r="BP21" s="1">
        <f t="shared" ref="BP21:BY21" si="5">BP8</f>
        <v>0</v>
      </c>
      <c r="BQ21" s="1">
        <f t="shared" si="5"/>
        <v>-0.12940952255126031</v>
      </c>
      <c r="BR21" s="1">
        <f t="shared" si="5"/>
        <v>0.86602540378443871</v>
      </c>
      <c r="BS21" s="1">
        <f t="shared" si="5"/>
        <v>0.48296291314453393</v>
      </c>
      <c r="BT21" s="1">
        <f t="shared" si="5"/>
        <v>0.12940952255126048</v>
      </c>
      <c r="BU21" s="1">
        <f t="shared" si="5"/>
        <v>0.86602540378443837</v>
      </c>
      <c r="BV21" s="1">
        <f t="shared" si="5"/>
        <v>-0.4829629131445346</v>
      </c>
      <c r="BW21" s="1">
        <f t="shared" si="5"/>
        <v>0</v>
      </c>
      <c r="BX21" s="1">
        <f t="shared" si="5"/>
        <v>0</v>
      </c>
      <c r="BY21" s="1">
        <f t="shared" si="5"/>
        <v>0</v>
      </c>
      <c r="CA21" s="16">
        <f t="shared" si="2"/>
        <v>0</v>
      </c>
      <c r="CC21" s="19">
        <v>12865.708654661925</v>
      </c>
    </row>
    <row r="22" spans="1:87" ht="18" x14ac:dyDescent="0.35">
      <c r="A22" s="27" t="s">
        <v>32</v>
      </c>
      <c r="B22" s="37" t="s">
        <v>33</v>
      </c>
      <c r="C22" s="21" t="s">
        <v>34</v>
      </c>
      <c r="D22" s="27" t="s">
        <v>252</v>
      </c>
      <c r="E22" s="27" t="s">
        <v>253</v>
      </c>
      <c r="F22" s="27" t="s">
        <v>254</v>
      </c>
      <c r="G22" s="27" t="s">
        <v>41</v>
      </c>
      <c r="H22" s="27" t="s">
        <v>42</v>
      </c>
      <c r="I22" s="27" t="s">
        <v>43</v>
      </c>
      <c r="J22" s="27" t="s">
        <v>44</v>
      </c>
      <c r="K22" s="27" t="s">
        <v>224</v>
      </c>
      <c r="L22" s="27" t="s">
        <v>225</v>
      </c>
      <c r="M22" s="27" t="s">
        <v>45</v>
      </c>
      <c r="N22" s="27" t="s">
        <v>49</v>
      </c>
      <c r="O22" s="27" t="s">
        <v>50</v>
      </c>
      <c r="P22" s="27" t="s">
        <v>237</v>
      </c>
      <c r="Q22" s="39" t="s">
        <v>242</v>
      </c>
      <c r="R22" s="39" t="s">
        <v>241</v>
      </c>
      <c r="S22" s="39" t="s">
        <v>243</v>
      </c>
      <c r="T22" s="27" t="s">
        <v>254</v>
      </c>
      <c r="U22" s="27" t="s">
        <v>246</v>
      </c>
      <c r="V22" s="27" t="s">
        <v>247</v>
      </c>
      <c r="W22" s="27" t="s">
        <v>248</v>
      </c>
      <c r="Y22" s="27" t="s">
        <v>255</v>
      </c>
      <c r="Z22" s="27" t="s">
        <v>256</v>
      </c>
      <c r="AA22" s="27" t="s">
        <v>257</v>
      </c>
      <c r="AB22" s="27" t="s">
        <v>41</v>
      </c>
      <c r="AC22" s="27" t="s">
        <v>42</v>
      </c>
      <c r="AD22" s="27" t="s">
        <v>43</v>
      </c>
      <c r="AE22" s="27" t="s">
        <v>44</v>
      </c>
      <c r="AF22" s="27" t="s">
        <v>224</v>
      </c>
      <c r="AG22" s="27" t="s">
        <v>225</v>
      </c>
      <c r="AH22" s="27" t="s">
        <v>45</v>
      </c>
      <c r="AI22" s="27" t="s">
        <v>49</v>
      </c>
      <c r="AJ22" s="27" t="s">
        <v>50</v>
      </c>
      <c r="AK22" s="27" t="s">
        <v>237</v>
      </c>
      <c r="AL22" s="39" t="s">
        <v>269</v>
      </c>
      <c r="AM22" s="39" t="s">
        <v>270</v>
      </c>
      <c r="AN22" s="39" t="s">
        <v>271</v>
      </c>
      <c r="AO22" s="27" t="s">
        <v>257</v>
      </c>
      <c r="AP22" s="27" t="s">
        <v>272</v>
      </c>
      <c r="AQ22" s="27" t="s">
        <v>273</v>
      </c>
      <c r="AR22" s="27" t="s">
        <v>274</v>
      </c>
      <c r="AT22" s="27" t="s">
        <v>275</v>
      </c>
      <c r="AU22" s="27" t="s">
        <v>276</v>
      </c>
      <c r="AV22" s="27" t="s">
        <v>277</v>
      </c>
      <c r="AW22" s="27" t="s">
        <v>41</v>
      </c>
      <c r="AX22" s="27" t="s">
        <v>42</v>
      </c>
      <c r="AY22" s="27" t="s">
        <v>43</v>
      </c>
      <c r="AZ22" s="27" t="s">
        <v>44</v>
      </c>
      <c r="BA22" s="27" t="s">
        <v>224</v>
      </c>
      <c r="BB22" s="27" t="s">
        <v>225</v>
      </c>
      <c r="BC22" s="27" t="s">
        <v>45</v>
      </c>
      <c r="BD22" s="27" t="s">
        <v>49</v>
      </c>
      <c r="BE22" s="27" t="s">
        <v>50</v>
      </c>
      <c r="BF22" s="27" t="s">
        <v>237</v>
      </c>
      <c r="BG22" s="39" t="s">
        <v>269</v>
      </c>
      <c r="BH22" s="39" t="s">
        <v>270</v>
      </c>
      <c r="BI22" s="39" t="s">
        <v>271</v>
      </c>
      <c r="BJ22" s="27" t="s">
        <v>277</v>
      </c>
      <c r="BK22" s="27" t="s">
        <v>272</v>
      </c>
      <c r="BL22" s="27" t="s">
        <v>273</v>
      </c>
      <c r="BM22" s="27" t="s">
        <v>274</v>
      </c>
      <c r="BP22" s="1">
        <f t="shared" ref="BP22:BY22" si="6">BP9</f>
        <v>0</v>
      </c>
      <c r="BQ22" s="1">
        <f t="shared" si="6"/>
        <v>-0.96592582628906831</v>
      </c>
      <c r="BR22" s="1">
        <f t="shared" si="6"/>
        <v>0</v>
      </c>
      <c r="BS22" s="1">
        <f t="shared" si="6"/>
        <v>-0.25881904510252074</v>
      </c>
      <c r="BT22" s="1">
        <f t="shared" si="6"/>
        <v>0.96592582628906831</v>
      </c>
      <c r="BU22" s="1">
        <f t="shared" si="6"/>
        <v>0</v>
      </c>
      <c r="BV22" s="1">
        <f t="shared" si="6"/>
        <v>0.25881904510252074</v>
      </c>
      <c r="BW22" s="1">
        <f t="shared" si="6"/>
        <v>0</v>
      </c>
      <c r="BX22" s="1">
        <f t="shared" si="6"/>
        <v>0</v>
      </c>
      <c r="BY22" s="1">
        <f t="shared" si="6"/>
        <v>0</v>
      </c>
      <c r="CA22" s="16">
        <f t="shared" si="2"/>
        <v>0</v>
      </c>
      <c r="CC22" s="19">
        <v>327.57961603079633</v>
      </c>
    </row>
    <row r="23" spans="1:87" ht="17.25" x14ac:dyDescent="0.25">
      <c r="D23" t="s">
        <v>5</v>
      </c>
      <c r="E23" t="s">
        <v>8</v>
      </c>
      <c r="F23" t="s">
        <v>222</v>
      </c>
      <c r="G23" s="3" t="s">
        <v>10</v>
      </c>
      <c r="H23" s="3" t="s">
        <v>10</v>
      </c>
      <c r="I23" s="3" t="s">
        <v>10</v>
      </c>
      <c r="J23" s="3" t="s">
        <v>10</v>
      </c>
      <c r="K23" s="3" t="s">
        <v>10</v>
      </c>
      <c r="L23" s="3" t="s">
        <v>10</v>
      </c>
      <c r="M23" s="3" t="s">
        <v>10</v>
      </c>
      <c r="N23" s="3" t="s">
        <v>10</v>
      </c>
      <c r="O23" s="3" t="s">
        <v>10</v>
      </c>
      <c r="P23" s="3" t="s">
        <v>10</v>
      </c>
      <c r="Q23" s="3" t="s">
        <v>238</v>
      </c>
      <c r="R23" s="3" t="s">
        <v>238</v>
      </c>
      <c r="S23" s="3" t="s">
        <v>238</v>
      </c>
      <c r="T23" t="s">
        <v>222</v>
      </c>
      <c r="U23" s="3" t="s">
        <v>238</v>
      </c>
      <c r="V23" s="3" t="s">
        <v>238</v>
      </c>
      <c r="W23" s="3" t="s">
        <v>238</v>
      </c>
      <c r="Y23" t="s">
        <v>5</v>
      </c>
      <c r="Z23" t="s">
        <v>8</v>
      </c>
      <c r="AA23" t="s">
        <v>222</v>
      </c>
      <c r="AB23" s="3" t="s">
        <v>10</v>
      </c>
      <c r="AC23" s="3" t="s">
        <v>10</v>
      </c>
      <c r="AD23" s="3" t="s">
        <v>10</v>
      </c>
      <c r="AE23" s="3" t="s">
        <v>10</v>
      </c>
      <c r="AF23" s="3" t="s">
        <v>10</v>
      </c>
      <c r="AG23" s="3" t="s">
        <v>10</v>
      </c>
      <c r="AH23" s="3" t="s">
        <v>10</v>
      </c>
      <c r="AI23" s="3" t="s">
        <v>10</v>
      </c>
      <c r="AJ23" s="3" t="s">
        <v>10</v>
      </c>
      <c r="AK23" s="3" t="s">
        <v>10</v>
      </c>
      <c r="AL23" s="3" t="s">
        <v>238</v>
      </c>
      <c r="AM23" s="3" t="s">
        <v>238</v>
      </c>
      <c r="AN23" s="3" t="s">
        <v>238</v>
      </c>
      <c r="AO23" t="s">
        <v>222</v>
      </c>
      <c r="AP23" s="3" t="s">
        <v>238</v>
      </c>
      <c r="AQ23" s="3" t="s">
        <v>238</v>
      </c>
      <c r="AR23" s="3" t="s">
        <v>238</v>
      </c>
      <c r="AT23" t="s">
        <v>5</v>
      </c>
      <c r="AU23" t="s">
        <v>8</v>
      </c>
      <c r="AV23" t="s">
        <v>222</v>
      </c>
      <c r="AW23" s="3" t="s">
        <v>10</v>
      </c>
      <c r="AX23" s="3" t="s">
        <v>10</v>
      </c>
      <c r="AY23" s="3" t="s">
        <v>10</v>
      </c>
      <c r="AZ23" s="3" t="s">
        <v>10</v>
      </c>
      <c r="BA23" s="3" t="s">
        <v>10</v>
      </c>
      <c r="BB23" s="3" t="s">
        <v>10</v>
      </c>
      <c r="BC23" s="3" t="s">
        <v>10</v>
      </c>
      <c r="BD23" s="3" t="s">
        <v>10</v>
      </c>
      <c r="BE23" s="3" t="s">
        <v>10</v>
      </c>
      <c r="BF23" s="3" t="s">
        <v>10</v>
      </c>
      <c r="BG23" s="3" t="s">
        <v>238</v>
      </c>
      <c r="BH23" s="3" t="s">
        <v>238</v>
      </c>
      <c r="BI23" s="3" t="s">
        <v>238</v>
      </c>
      <c r="BJ23" t="s">
        <v>222</v>
      </c>
      <c r="BK23" s="3" t="s">
        <v>238</v>
      </c>
      <c r="BL23" s="3" t="s">
        <v>238</v>
      </c>
      <c r="BM23" s="3" t="s">
        <v>238</v>
      </c>
      <c r="BP23" s="1">
        <f t="shared" ref="BP23:BY23" si="7">BP10</f>
        <v>0</v>
      </c>
      <c r="BQ23" s="1">
        <f t="shared" si="7"/>
        <v>0.22414386804201339</v>
      </c>
      <c r="BR23" s="1">
        <f t="shared" si="7"/>
        <v>0.49999999999999978</v>
      </c>
      <c r="BS23" s="1">
        <f t="shared" si="7"/>
        <v>-0.83651630373780794</v>
      </c>
      <c r="BT23" s="1">
        <f t="shared" si="7"/>
        <v>0</v>
      </c>
      <c r="BU23" s="1">
        <f t="shared" si="7"/>
        <v>0</v>
      </c>
      <c r="BV23" s="1">
        <f t="shared" si="7"/>
        <v>0</v>
      </c>
      <c r="BW23" s="1">
        <f t="shared" si="7"/>
        <v>6.3418350641655545E-17</v>
      </c>
      <c r="BX23" s="1">
        <f t="shared" si="7"/>
        <v>1</v>
      </c>
      <c r="BY23" s="1">
        <f t="shared" si="7"/>
        <v>-2.3668050672687681E-16</v>
      </c>
      <c r="CA23" s="16">
        <f t="shared" si="2"/>
        <v>0</v>
      </c>
      <c r="CC23" s="19">
        <v>3239.6215429797949</v>
      </c>
    </row>
    <row r="24" spans="1:87" x14ac:dyDescent="0.25">
      <c r="D24" s="1">
        <v>1.5482101303703799</v>
      </c>
      <c r="E24" s="14">
        <v>4.9896136537226798</v>
      </c>
      <c r="F24" s="1">
        <v>0.24069302379607799</v>
      </c>
      <c r="G24" s="1">
        <f t="shared" ref="G24:G55" si="8">pv/2*(1+kh)*(1-(R0/E24)^2)-pv/2*(1-kh)*(1-4*(R0/E24)^2+3*(R0/E24)^4)*COS(2*D24)</f>
        <v>0.3140715931996938</v>
      </c>
      <c r="H24" s="1">
        <f t="shared" ref="H24:H55" si="9">pv/2*(1+kh)*(1+(R0/E24)^2)+pv/2*(1-kh)*(1+3*(R0/E24)^4)*COS(2*D24)</f>
        <v>0.76912445172359512</v>
      </c>
      <c r="I24" s="1">
        <f t="shared" ref="I24:I55" si="10">pv/2*(1-kh)*(1+2*(R0/E24)^2-3*(R0/E24)^4)*SIN(2*D24)</f>
        <v>4.4647935052445326E-2</v>
      </c>
      <c r="J24" s="1">
        <f>G24*COS(D24)^2+H24*SIN(D24)^2-I24*SIN(2*D24)</f>
        <v>0.76687618400920587</v>
      </c>
      <c r="K24" s="1">
        <f>G24*SIN(D24)^2+H24*COS(D24)^2+I24*SIN(2*D24)</f>
        <v>0.31631986091408321</v>
      </c>
      <c r="L24" s="1">
        <f>0.5*(G24-H24)*SIN(2*D24)+I24*COS(2*D24)</f>
        <v>-5.4876807914561634E-2</v>
      </c>
      <c r="M24" s="1">
        <f t="shared" ref="M24:M55" si="11">v*(K24+J24)</f>
        <v>0.32495881347698674</v>
      </c>
      <c r="N24" s="1">
        <f t="shared" ref="N24:N55" si="12">J24*nxa+0*nya+L24*nza</f>
        <v>0.62730126784921469</v>
      </c>
      <c r="O24" s="1">
        <f t="shared" ref="O24:O55" si="13">0*nxa+M24*nya+0*nza</f>
        <v>-0.15694305520883675</v>
      </c>
      <c r="P24" s="1">
        <f t="shared" ref="P24:P55" si="14">L24*nxa+0*nya+K24*nza</f>
        <v>3.5964259831126402E-2</v>
      </c>
      <c r="Q24" s="1">
        <f t="shared" ref="Q24:Q55" si="15">(N24*nxa+O24*nya+P24*nza)*F24*1000</f>
        <v>146.78751871610351</v>
      </c>
      <c r="R24" s="1">
        <f t="shared" ref="R24:R55" si="16">(N24*mxa+O24*mya+P24*mza)*F24*1000</f>
        <v>30.369887812638002</v>
      </c>
      <c r="S24" s="1">
        <f t="shared" ref="S24:S55" si="17">(N24*kxa+O24*kya+P24*kza)*F24*1000</f>
        <v>42.779324544349997</v>
      </c>
      <c r="T24" s="1">
        <f>IF(AND(Q24=U24,R24=V24),F24,0)</f>
        <v>0.24069302379607799</v>
      </c>
      <c r="U24" s="1">
        <f t="shared" ref="U24:U55" si="18">IF(-Q24&gt;=σt1*F24,0,Q24)</f>
        <v>146.78751871610351</v>
      </c>
      <c r="V24" s="1">
        <f t="shared" ref="V24:V55" si="19">IF(-Q24&gt;=σt1*F24,0,SIGN(R24)*IF(Q24&lt;0,MIN(ABS(R24),c_1*F24),MIN(ABS(R24),c_1*F24+Q24*TAN(φ1))))</f>
        <v>30.369887812638002</v>
      </c>
      <c r="W24" s="1">
        <f t="shared" ref="W24:W55" si="20">IF(-Q24&gt;=σt1*F24,0,SIGN(S24)*IF(Q24&lt;0,MIN(ABS(S24),c_1*F24),MIN(ABS(S24),c_1*F24+Q24*TAN(φ1))))</f>
        <v>42.779324544349997</v>
      </c>
      <c r="Y24" s="1">
        <v>1.5831023809038101</v>
      </c>
      <c r="Z24" s="1">
        <v>8.3854201952667609</v>
      </c>
      <c r="AA24" s="1">
        <v>0.22040583972122499</v>
      </c>
      <c r="AB24" s="1">
        <f t="shared" ref="AB24:AB55" si="21">pv/2*(1+kh)*(1-(R0/Z24)^2)-pv/2*(1-kh)*(1-4*(R0/Z24)^2+3*(R0/Z24)^4)*COS(2*Y24)</f>
        <v>1.5872485550008957</v>
      </c>
      <c r="AC24" s="1">
        <f t="shared" ref="AC24:AC55" si="22">pv/2*(1+kh)*(1+(R0/Z24)^2)+pv/2*(1-kh)*(1+3*(R0/Z24)^4)*COS(2*Y24)</f>
        <v>1.0628858528544507</v>
      </c>
      <c r="AD24" s="1">
        <f t="shared" ref="AD24:AD55" si="23">pv/2*(1-kh)*(1+2*(R0/Z24)^2-3*(R0/Z24)^4)*SIN(2*Y24)</f>
        <v>-3.0227360161232977E-2</v>
      </c>
      <c r="AE24" s="1">
        <f>AB24*COS(Y24)^2+AC24*SIN(Y24)^2-AD24*SIN(2*Y24)</f>
        <v>1.0622213738402175</v>
      </c>
      <c r="AF24" s="1">
        <f>AB24*SIN(Y24)^2+AC24*COS(Y24)^2+AD24*SIN(2*Y24)</f>
        <v>1.5879130340151284</v>
      </c>
      <c r="AG24" s="1">
        <f>0.5*(AB24-AC24)*SIN(2*Y24)+AD24*COS(2*Y24)</f>
        <v>2.376602109175343E-2</v>
      </c>
      <c r="AH24" s="1">
        <f t="shared" ref="AH24:AH55" si="24">v*(AF24+AE24)</f>
        <v>0.79504032235660371</v>
      </c>
      <c r="AI24" s="1">
        <f t="shared" ref="AI24:AI55" si="25">AE24*nxb+0*nyb+AG24*nzb</f>
        <v>-0.88241439851126069</v>
      </c>
      <c r="AJ24" s="1">
        <f t="shared" ref="AJ24:AJ55" si="26">0*nxb+AH24*nyb+0*nzb</f>
        <v>-0.38397499015271519</v>
      </c>
      <c r="AK24" s="1">
        <f t="shared" ref="AK24:AK55" si="27">AG24*nxb+0*nyb+AF24*nzb</f>
        <v>0.39110147105141368</v>
      </c>
      <c r="AL24" s="1">
        <f t="shared" ref="AL24:AL55" si="28">(AI24*nxb+AJ24*nyb+AK24*nzb)*AA24*1000</f>
        <v>225.87724279827003</v>
      </c>
      <c r="AM24" s="1">
        <f t="shared" ref="AM24:AM55" si="29">(AI24*mxb+AJ24*myb+AK24*mzb)*AA24*1000</f>
        <v>-28.718267072769198</v>
      </c>
      <c r="AN24" s="1">
        <f t="shared" ref="AN24:AN55" si="30">(AI24*kxb+AJ24*kyb+AK24*kzb)*AA24*1000</f>
        <v>-23.952627414063905</v>
      </c>
      <c r="AO24" s="1">
        <f>IF(AND(AL24=AP24,AM24=AQ24),AA24,0)</f>
        <v>0.22040583972122499</v>
      </c>
      <c r="AP24" s="1">
        <f t="shared" ref="AP24:AP55" si="31">IF(-AL24&gt;=σt1*AA24,0,AL24)</f>
        <v>225.87724279827003</v>
      </c>
      <c r="AQ24" s="1">
        <f t="shared" ref="AQ24:AQ55" si="32">IF(-AL24&gt;=σt1*AA24,0,SIGN(AM24)*IF(AL24&lt;0,MIN(ABS(AM24),c_1*AA24),MIN(ABS(AM24),c_1*AA24+AL24*TAN(φ1))))</f>
        <v>-28.718267072769198</v>
      </c>
      <c r="AR24" s="1">
        <f t="shared" ref="AR24:AR55" si="33">IF(-AL24&gt;=σt1*AA24,0,SIGN(AN24)*IF(AL24&lt;0,MIN(ABS(AN24),c_1*AA24),MIN(ABS(AN24),c_1*AA24+AL24*TAN(φ1))))</f>
        <v>-23.952627414063905</v>
      </c>
      <c r="AT24" s="1">
        <v>0.98216514654546005</v>
      </c>
      <c r="AU24" s="1">
        <v>4.30518669527138</v>
      </c>
      <c r="AV24" s="1">
        <v>0.15419430624403199</v>
      </c>
      <c r="AW24" s="1">
        <f t="shared" ref="AW24:AW55" si="34">pv/2*(1+kh)*(1-(R0/AU24)^2)-pv/2*(1-kh)*(1-4*(R0/AU24)^2+3*(R0/AU24)^4)*COS(2*AT24)</f>
        <v>0.16122033082221199</v>
      </c>
      <c r="AX24" s="1">
        <f t="shared" ref="AX24:AX55" si="35">pv/2*(1+kh)*(1+(R0/AU24)^2)+pv/2*(1-kh)*(1+3*(R0/AU24)^4)*COS(2*AT24)</f>
        <v>2.0975362928364687</v>
      </c>
      <c r="AY24" s="1">
        <f t="shared" ref="AY24:AY55" si="36">pv/2*(1-kh)*(1+2*(R0/AU24)^2-3*(R0/AU24)^4)*SIN(2*AT24)</f>
        <v>0.42844155766301689</v>
      </c>
      <c r="AZ24" s="1">
        <f>AW24*COS(AT24)^2+AX24*SIN(AT24)^2-AY24*SIN(2*AT24)</f>
        <v>1.1049316113736831</v>
      </c>
      <c r="BA24" s="1">
        <f>AW24*SIN(AT24)^2+AX24*COS(AT24)^2+AY24*SIN(2*AT24)</f>
        <v>1.1538250122849976</v>
      </c>
      <c r="BB24" s="1">
        <f>0.5*(AW24-AX24)*SIN(2*AT24)+AY24*COS(2*AT24)</f>
        <v>-1.0584396077988307</v>
      </c>
      <c r="BC24" s="1">
        <f t="shared" ref="BC24:BC55" si="37">v*(BA24+AZ24)</f>
        <v>0.67762698709760416</v>
      </c>
      <c r="BD24" s="1">
        <f t="shared" ref="BD24:BD55" si="38">AZ24*nxc+0*nyc+BB24*nzc</f>
        <v>-0.27394432858918022</v>
      </c>
      <c r="BE24" s="1">
        <f t="shared" ref="BE24:BE55" si="39">0*nxc+BC24*nyc+0*nzc</f>
        <v>0.65453740742802513</v>
      </c>
      <c r="BF24" s="1">
        <f t="shared" ref="BF24:BF55" si="40">BB24*nxc+0*nyc+BA24*nzc</f>
        <v>0.29863188789500761</v>
      </c>
      <c r="BG24" s="1">
        <f t="shared" ref="BG24:BG55" si="41">(BD24*nxc+BE24*nyc+BF24*nzc)*AV24*1000</f>
        <v>109.40490112221498</v>
      </c>
      <c r="BH24" s="1">
        <f t="shared" ref="BH24:BH55" si="42">(BD24*mxc+BE24*myc+BF24*mzc)*AV24*1000</f>
        <v>-18.356756032137085</v>
      </c>
      <c r="BI24" s="1">
        <f t="shared" ref="BI24:BI55" si="43">(BD24*kxc+BE24*kyc+BF24*kzc)*AV24*1000</f>
        <v>42.240655696295761</v>
      </c>
      <c r="BJ24" s="1">
        <f>IF(AND(BG24=BK24,BH24=BL24),AV24,0)</f>
        <v>0.15419430624403199</v>
      </c>
      <c r="BK24" s="1">
        <f t="shared" ref="BK24:BK55" si="44">IF(-BG24&gt;=σt1*AV24,0,BG24)</f>
        <v>109.40490112221498</v>
      </c>
      <c r="BL24" s="1">
        <f t="shared" ref="BL24:BL55" si="45">IF(-BG24&gt;=σt1*AV24,0,SIGN(BH24)*IF(BG24&lt;0,MIN(ABS(BH24),c_1*AV24),MIN(ABS(BH24),c_1*AV24+BG24*TAN(φ1))))</f>
        <v>-18.356756032137085</v>
      </c>
      <c r="BM24" s="1">
        <f t="shared" ref="BM24:BM55" si="46">IF(-BG24&gt;=σt1*AV24,0,SIGN(BI24)*IF(BG24&lt;0,MIN(ABS(BI24),c_1*AV24),MIN(ABS(BI24),c_1*AV24+BG24*TAN(φ1))))</f>
        <v>42.240655696295761</v>
      </c>
      <c r="BP24" s="1">
        <f t="shared" ref="BP24:BY24" si="47">BP11</f>
        <v>0</v>
      </c>
      <c r="BQ24" s="1">
        <f t="shared" si="47"/>
        <v>-0.12940952255126031</v>
      </c>
      <c r="BR24" s="1">
        <f t="shared" si="47"/>
        <v>0.86602540378443871</v>
      </c>
      <c r="BS24" s="1">
        <f t="shared" si="47"/>
        <v>0.48296291314453393</v>
      </c>
      <c r="BT24" s="1">
        <f t="shared" si="47"/>
        <v>0</v>
      </c>
      <c r="BU24" s="1">
        <f t="shared" si="47"/>
        <v>0</v>
      </c>
      <c r="BV24" s="1">
        <f t="shared" si="47"/>
        <v>0</v>
      </c>
      <c r="BW24" s="1">
        <f t="shared" si="47"/>
        <v>-0.25881904510252074</v>
      </c>
      <c r="BX24" s="1">
        <f t="shared" si="47"/>
        <v>2.4502969098172395E-16</v>
      </c>
      <c r="BY24" s="1">
        <f t="shared" si="47"/>
        <v>0.96592582628906831</v>
      </c>
      <c r="CA24" s="16">
        <f t="shared" si="2"/>
        <v>0</v>
      </c>
      <c r="CC24" s="19">
        <v>12714.383179523949</v>
      </c>
    </row>
    <row r="25" spans="1:87" x14ac:dyDescent="0.25">
      <c r="D25" s="1">
        <v>1.5579852267135901</v>
      </c>
      <c r="E25" s="14">
        <v>6.3543881855031596</v>
      </c>
      <c r="F25" s="1">
        <v>0.17387562116849201</v>
      </c>
      <c r="G25" s="1">
        <f t="shared" si="8"/>
        <v>0.95191679533112272</v>
      </c>
      <c r="H25" s="1">
        <f t="shared" si="9"/>
        <v>1.0607387236095798</v>
      </c>
      <c r="I25" s="1">
        <f t="shared" si="10"/>
        <v>3.1992902774921408E-2</v>
      </c>
      <c r="J25" s="1">
        <f t="shared" ref="J25:J88" si="48">G25*COS(D25)^2+H25*SIN(D25)^2-I25*SIN(2*D25)</f>
        <v>1.0599012253954092</v>
      </c>
      <c r="K25" s="1">
        <f t="shared" ref="K25:K88" si="49">G25*SIN(D25)^2+H25*COS(D25)^2+I25*SIN(2*D25)</f>
        <v>0.95275429354529317</v>
      </c>
      <c r="L25" s="1">
        <f t="shared" ref="L25:L88" si="50">0.5*(G25-H25)*SIN(2*D25)+I25*COS(2*D25)</f>
        <v>-3.3376377803809434E-2</v>
      </c>
      <c r="M25" s="1">
        <f t="shared" si="11"/>
        <v>0.60379665568221075</v>
      </c>
      <c r="N25" s="1">
        <f t="shared" si="12"/>
        <v>0.87798621316277803</v>
      </c>
      <c r="O25" s="1">
        <f t="shared" si="13"/>
        <v>-0.29161139177520762</v>
      </c>
      <c r="P25" s="1">
        <f t="shared" si="14"/>
        <v>0.21867107228012025</v>
      </c>
      <c r="Q25" s="16">
        <f t="shared" si="15"/>
        <v>162.031823664927</v>
      </c>
      <c r="R25" s="1">
        <f t="shared" si="16"/>
        <v>4.0534720641360886</v>
      </c>
      <c r="S25" s="1">
        <f t="shared" si="17"/>
        <v>32.419150127026654</v>
      </c>
      <c r="T25" s="1">
        <f t="shared" ref="T25:T88" si="51">IF(AND(Q25=U25,R25=V25),F25,0)</f>
        <v>0.17387562116849201</v>
      </c>
      <c r="U25" s="1">
        <f t="shared" si="18"/>
        <v>162.031823664927</v>
      </c>
      <c r="V25" s="1">
        <f t="shared" si="19"/>
        <v>4.0534720641360886</v>
      </c>
      <c r="W25" s="1">
        <f t="shared" si="20"/>
        <v>32.419150127026654</v>
      </c>
      <c r="Y25" s="1">
        <v>1.60535628404519</v>
      </c>
      <c r="Z25" s="1">
        <v>6.6827318273212999</v>
      </c>
      <c r="AA25" s="1">
        <v>0.174856553026846</v>
      </c>
      <c r="AB25" s="1">
        <f t="shared" si="21"/>
        <v>1.080972839739657</v>
      </c>
      <c r="AC25" s="1">
        <f t="shared" si="22"/>
        <v>1.0779957264277047</v>
      </c>
      <c r="AD25" s="1">
        <f t="shared" si="23"/>
        <v>-8.6899994679704259E-2</v>
      </c>
      <c r="AE25" s="1">
        <f t="shared" ref="AE25:AE88" si="52">AB25*COS(Y25)^2+AC25*SIN(Y25)^2-AD25*SIN(2*Y25)</f>
        <v>1.0719975422581651</v>
      </c>
      <c r="AF25" s="1">
        <f t="shared" ref="AF25:AF88" si="53">AB25*SIN(Y25)^2+AC25*COS(Y25)^2+AD25*SIN(2*Y25)</f>
        <v>1.0869710239091961</v>
      </c>
      <c r="AG25" s="1">
        <f t="shared" ref="AG25:AG88" si="54">0.5*(AB25-AC25)*SIN(2*Y25)+AD25*COS(2*Y25)</f>
        <v>8.6589685229028504E-2</v>
      </c>
      <c r="AH25" s="1">
        <f t="shared" si="24"/>
        <v>0.64769056985020834</v>
      </c>
      <c r="AI25" s="1">
        <f t="shared" si="25"/>
        <v>-0.87433236201910958</v>
      </c>
      <c r="AJ25" s="1">
        <f t="shared" si="26"/>
        <v>-0.3128105244311003</v>
      </c>
      <c r="AK25" s="1">
        <f t="shared" si="27"/>
        <v>0.20889511903268021</v>
      </c>
      <c r="AL25" s="1">
        <f t="shared" si="28"/>
        <v>163.75931565217175</v>
      </c>
      <c r="AM25" s="1">
        <f t="shared" si="29"/>
        <v>6.0639741542611105</v>
      </c>
      <c r="AN25" s="1">
        <f t="shared" si="30"/>
        <v>-29.07240593570285</v>
      </c>
      <c r="AO25" s="1">
        <f t="shared" ref="AO25:AO88" si="55">IF(AND(AL25=AP25,AM25=AQ25),AA25,0)</f>
        <v>0.174856553026846</v>
      </c>
      <c r="AP25" s="1">
        <f t="shared" si="31"/>
        <v>163.75931565217175</v>
      </c>
      <c r="AQ25" s="1">
        <f t="shared" si="32"/>
        <v>6.0639741542611105</v>
      </c>
      <c r="AR25" s="1">
        <f t="shared" si="33"/>
        <v>-29.07240593570285</v>
      </c>
      <c r="AT25" s="1">
        <v>1.0546379615688699</v>
      </c>
      <c r="AU25" s="1">
        <v>4.1192133099525901</v>
      </c>
      <c r="AV25" s="1">
        <v>0.16207357250718801</v>
      </c>
      <c r="AW25" s="1">
        <f t="shared" si="34"/>
        <v>4.9553214863882707E-2</v>
      </c>
      <c r="AX25" s="1">
        <f t="shared" si="35"/>
        <v>1.6325243155181013</v>
      </c>
      <c r="AY25" s="1">
        <f t="shared" si="36"/>
        <v>0.1771932844084923</v>
      </c>
      <c r="AZ25" s="1">
        <f t="shared" ref="AZ25:AZ88" si="56">AW25*COS(AT25)^2+AX25*SIN(AT25)^2-AY25*SIN(2*AT25)</f>
        <v>1.0948188026256913</v>
      </c>
      <c r="BA25" s="1">
        <f t="shared" ref="BA25:BA88" si="57">AW25*SIN(AT25)^2+AX25*COS(AT25)^2+AY25*SIN(2*AT25)</f>
        <v>0.58725872775629295</v>
      </c>
      <c r="BB25" s="1">
        <f t="shared" ref="BB25:BB88" si="58">0.5*(AW25-AX25)*SIN(2*AT25)+AY25*COS(2*AT25)</f>
        <v>-0.77035221101501272</v>
      </c>
      <c r="BC25" s="1">
        <f t="shared" si="37"/>
        <v>0.50462325911459527</v>
      </c>
      <c r="BD25" s="1">
        <f t="shared" si="38"/>
        <v>-0.19938182364752141</v>
      </c>
      <c r="BE25" s="1">
        <f t="shared" si="39"/>
        <v>0.48742863852494805</v>
      </c>
      <c r="BF25" s="1">
        <f t="shared" si="40"/>
        <v>0.15199374314600514</v>
      </c>
      <c r="BG25" s="1">
        <f t="shared" si="41"/>
        <v>82.683256974598919</v>
      </c>
      <c r="BH25" s="1">
        <f t="shared" si="42"/>
        <v>-3.3482564046414445</v>
      </c>
      <c r="BI25" s="1">
        <f t="shared" si="43"/>
        <v>32.314524451551918</v>
      </c>
      <c r="BJ25" s="1">
        <f t="shared" ref="BJ25:BJ88" si="59">IF(AND(BG25=BK25,BH25=BL25),AV25,0)</f>
        <v>0.16207357250718801</v>
      </c>
      <c r="BK25" s="1">
        <f t="shared" si="44"/>
        <v>82.683256974598919</v>
      </c>
      <c r="BL25" s="1">
        <f t="shared" si="45"/>
        <v>-3.3482564046414445</v>
      </c>
      <c r="BM25" s="1">
        <f t="shared" si="46"/>
        <v>32.314524451551918</v>
      </c>
      <c r="BP25" s="1">
        <f t="shared" ref="BP25:BY25" si="60">BP12</f>
        <v>0</v>
      </c>
      <c r="BQ25" s="1">
        <f t="shared" si="60"/>
        <v>-0.96592582628906831</v>
      </c>
      <c r="BR25" s="1">
        <f t="shared" si="60"/>
        <v>0</v>
      </c>
      <c r="BS25" s="1">
        <f t="shared" si="60"/>
        <v>-0.25881904510252074</v>
      </c>
      <c r="BT25" s="1">
        <f t="shared" si="60"/>
        <v>0</v>
      </c>
      <c r="BU25" s="1">
        <f t="shared" si="60"/>
        <v>0</v>
      </c>
      <c r="BV25" s="1">
        <f t="shared" si="60"/>
        <v>0</v>
      </c>
      <c r="BW25" s="1">
        <f t="shared" si="60"/>
        <v>0.96592582628906831</v>
      </c>
      <c r="BX25" s="1">
        <f t="shared" si="60"/>
        <v>0</v>
      </c>
      <c r="BY25" s="1">
        <f t="shared" si="60"/>
        <v>0.25881904510252074</v>
      </c>
      <c r="CA25" s="16">
        <f t="shared" si="2"/>
        <v>0</v>
      </c>
      <c r="CC25" s="19">
        <v>9.9836562993019875</v>
      </c>
    </row>
    <row r="26" spans="1:87" x14ac:dyDescent="0.25">
      <c r="D26" s="1">
        <v>1.4120203902943</v>
      </c>
      <c r="E26" s="14">
        <v>4.1341457751834501</v>
      </c>
      <c r="F26" s="1">
        <v>0.11489789837995699</v>
      </c>
      <c r="G26" s="1">
        <f t="shared" si="8"/>
        <v>8.3917443191734303E-3</v>
      </c>
      <c r="H26" s="1">
        <f t="shared" si="9"/>
        <v>0.13986117449166935</v>
      </c>
      <c r="I26" s="1">
        <f t="shared" si="10"/>
        <v>7.1744834143028541E-2</v>
      </c>
      <c r="J26" s="1">
        <f t="shared" si="48"/>
        <v>0.1141728802545989</v>
      </c>
      <c r="K26" s="1">
        <f t="shared" si="49"/>
        <v>3.4080038556243877E-2</v>
      </c>
      <c r="L26" s="1">
        <f t="shared" si="50"/>
        <v>-8.8682907997265331E-2</v>
      </c>
      <c r="M26" s="1">
        <f t="shared" si="11"/>
        <v>4.4475875643252838E-2</v>
      </c>
      <c r="N26" s="1">
        <f t="shared" si="12"/>
        <v>7.2554650212909522E-2</v>
      </c>
      <c r="O26" s="1">
        <f t="shared" si="13"/>
        <v>-2.1480198465319414E-2</v>
      </c>
      <c r="P26" s="1">
        <f t="shared" si="14"/>
        <v>-6.5364135366408352E-2</v>
      </c>
      <c r="Q26" s="16">
        <f t="shared" si="15"/>
        <v>6.2216986705467159</v>
      </c>
      <c r="R26" s="1">
        <f t="shared" si="16"/>
        <v>9.4422321503601818</v>
      </c>
      <c r="S26" s="1">
        <f t="shared" si="17"/>
        <v>2.0308120303352828</v>
      </c>
      <c r="T26" s="1">
        <f t="shared" si="51"/>
        <v>0</v>
      </c>
      <c r="U26" s="1">
        <f t="shared" si="18"/>
        <v>6.2216986705467159</v>
      </c>
      <c r="V26" s="1">
        <f t="shared" si="19"/>
        <v>3.5920994022568831</v>
      </c>
      <c r="W26" s="1">
        <f t="shared" si="20"/>
        <v>2.0308120303352828</v>
      </c>
      <c r="Y26" s="1">
        <v>1.6604406437496599</v>
      </c>
      <c r="Z26" s="1">
        <v>4.1275354500309804</v>
      </c>
      <c r="AA26" s="1">
        <v>0.108667490450223</v>
      </c>
      <c r="AB26" s="1">
        <f t="shared" si="21"/>
        <v>3.9559445272266819E-3</v>
      </c>
      <c r="AC26" s="1">
        <f t="shared" si="22"/>
        <v>1.2933195504670092E-2</v>
      </c>
      <c r="AD26" s="1">
        <f t="shared" si="23"/>
        <v>-3.9141675266846476E-2</v>
      </c>
      <c r="AE26" s="1">
        <f t="shared" si="52"/>
        <v>5.881124974203047E-3</v>
      </c>
      <c r="AF26" s="1">
        <f t="shared" si="53"/>
        <v>1.1008015057693728E-2</v>
      </c>
      <c r="AG26" s="1">
        <f t="shared" si="54"/>
        <v>3.9314720538129413E-2</v>
      </c>
      <c r="AH26" s="1">
        <f t="shared" si="24"/>
        <v>5.0667420095690321E-3</v>
      </c>
      <c r="AI26" s="1">
        <f t="shared" si="25"/>
        <v>5.2557415029106736E-3</v>
      </c>
      <c r="AJ26" s="1">
        <f t="shared" si="26"/>
        <v>-2.4470484810932532E-3</v>
      </c>
      <c r="AK26" s="1">
        <f t="shared" si="27"/>
        <v>-3.0038320761334426E-2</v>
      </c>
      <c r="AL26" s="1">
        <f t="shared" si="28"/>
        <v>-1.1941654486936717</v>
      </c>
      <c r="AM26" s="1">
        <f t="shared" si="29"/>
        <v>3.0593613846114933</v>
      </c>
      <c r="AN26" s="1">
        <f t="shared" si="30"/>
        <v>0.51585293373788987</v>
      </c>
      <c r="AO26" s="1">
        <f t="shared" si="55"/>
        <v>0</v>
      </c>
      <c r="AP26" s="1">
        <f t="shared" si="31"/>
        <v>0</v>
      </c>
      <c r="AQ26" s="1">
        <f t="shared" si="32"/>
        <v>0</v>
      </c>
      <c r="AR26" s="1">
        <f t="shared" si="33"/>
        <v>0</v>
      </c>
      <c r="AT26" s="1">
        <v>1.2315315059952101</v>
      </c>
      <c r="AU26" s="1">
        <v>5.5027361983817302</v>
      </c>
      <c r="AV26" s="1">
        <v>0.172246484731959</v>
      </c>
      <c r="AW26" s="1">
        <f t="shared" si="34"/>
        <v>0.62462565162388428</v>
      </c>
      <c r="AX26" s="1">
        <f t="shared" si="35"/>
        <v>1.3304437104279148</v>
      </c>
      <c r="AY26" s="1">
        <f t="shared" si="36"/>
        <v>0.72313057566052252</v>
      </c>
      <c r="AZ26" s="1">
        <f t="shared" si="56"/>
        <v>0.79840089280096227</v>
      </c>
      <c r="BA26" s="1">
        <f t="shared" si="57"/>
        <v>1.1566684692508369</v>
      </c>
      <c r="BB26" s="1">
        <f t="shared" si="58"/>
        <v>-0.78445758228522111</v>
      </c>
      <c r="BC26" s="1">
        <f t="shared" si="37"/>
        <v>0.58652080861553968</v>
      </c>
      <c r="BD26" s="1">
        <f t="shared" si="38"/>
        <v>-0.20303256237049322</v>
      </c>
      <c r="BE26" s="1">
        <f t="shared" si="39"/>
        <v>0.56653559669769771</v>
      </c>
      <c r="BF26" s="1">
        <f t="shared" si="40"/>
        <v>0.29936782871169615</v>
      </c>
      <c r="BG26" s="1">
        <f t="shared" si="41"/>
        <v>107.60469743664342</v>
      </c>
      <c r="BH26" s="1">
        <f t="shared" si="42"/>
        <v>-24.551482580644993</v>
      </c>
      <c r="BI26" s="1">
        <f t="shared" si="43"/>
        <v>34.971645154439649</v>
      </c>
      <c r="BJ26" s="1">
        <f t="shared" si="59"/>
        <v>0.172246484731959</v>
      </c>
      <c r="BK26" s="1">
        <f t="shared" si="44"/>
        <v>107.60469743664342</v>
      </c>
      <c r="BL26" s="1">
        <f t="shared" si="45"/>
        <v>-24.551482580644993</v>
      </c>
      <c r="BM26" s="1">
        <f t="shared" si="46"/>
        <v>34.971645154439649</v>
      </c>
      <c r="BP26" s="1">
        <v>0</v>
      </c>
      <c r="BQ26" s="1">
        <v>0</v>
      </c>
      <c r="BR26" s="1">
        <v>0</v>
      </c>
      <c r="BS26" s="1">
        <v>0</v>
      </c>
      <c r="BT26" s="1">
        <f>Ks_1-1*TAN(i_1)*TAN(φ1)</f>
        <v>0.1</v>
      </c>
      <c r="BU26" s="1">
        <v>0</v>
      </c>
      <c r="BV26" s="1">
        <f>1*TAN(φ1)</f>
        <v>0.57735026918962573</v>
      </c>
      <c r="BW26" s="1">
        <v>0</v>
      </c>
      <c r="BX26" s="1">
        <v>0</v>
      </c>
      <c r="BY26" s="1">
        <v>0</v>
      </c>
      <c r="CA26" s="16">
        <f>N0b*TAN(φ1)-S0b+Cb</f>
        <v>3156.9672353780875</v>
      </c>
      <c r="CC26" s="19">
        <v>3804.3759046742198</v>
      </c>
    </row>
    <row r="27" spans="1:87" x14ac:dyDescent="0.25">
      <c r="D27" s="1">
        <v>1.2723575563876099</v>
      </c>
      <c r="E27" s="14">
        <v>4.1038673452922296</v>
      </c>
      <c r="F27" s="1">
        <v>9.4572533865240005E-2</v>
      </c>
      <c r="G27" s="1">
        <f t="shared" si="8"/>
        <v>1.5442498137862956E-2</v>
      </c>
      <c r="H27" s="1">
        <f t="shared" si="9"/>
        <v>0.52439389672941772</v>
      </c>
      <c r="I27" s="1">
        <f t="shared" si="10"/>
        <v>0.10220430923153759</v>
      </c>
      <c r="J27" s="1">
        <f t="shared" si="48"/>
        <v>0.4229484651485253</v>
      </c>
      <c r="K27" s="1">
        <f t="shared" si="49"/>
        <v>0.11688792971875545</v>
      </c>
      <c r="L27" s="1">
        <f t="shared" si="50"/>
        <v>-0.22756392403164727</v>
      </c>
      <c r="M27" s="1">
        <f t="shared" si="11"/>
        <v>0.16195091846018422</v>
      </c>
      <c r="N27" s="1">
        <f t="shared" si="12"/>
        <v>0.29490540921996994</v>
      </c>
      <c r="O27" s="1">
        <f t="shared" si="13"/>
        <v>-7.8216287365963449E-2</v>
      </c>
      <c r="P27" s="1">
        <f t="shared" si="14"/>
        <v>-0.16010811024120605</v>
      </c>
      <c r="Q27" s="16">
        <f t="shared" si="15"/>
        <v>22.983936488209203</v>
      </c>
      <c r="R27" s="1">
        <f t="shared" si="16"/>
        <v>21.834502814245766</v>
      </c>
      <c r="S27" s="1">
        <f t="shared" si="17"/>
        <v>7.5388885729549946</v>
      </c>
      <c r="T27" s="1">
        <f t="shared" si="51"/>
        <v>0</v>
      </c>
      <c r="U27" s="1">
        <f t="shared" si="18"/>
        <v>22.983936488209203</v>
      </c>
      <c r="V27" s="1">
        <f t="shared" si="19"/>
        <v>13.269781918504844</v>
      </c>
      <c r="W27" s="1">
        <f t="shared" si="20"/>
        <v>7.5388885729549946</v>
      </c>
      <c r="Y27" s="1">
        <v>1.681636786149</v>
      </c>
      <c r="Z27" s="1">
        <v>4.2757068255604702</v>
      </c>
      <c r="AA27" s="1">
        <v>0.105921710352871</v>
      </c>
      <c r="AB27" s="1">
        <f t="shared" si="21"/>
        <v>3.2002528664139662E-2</v>
      </c>
      <c r="AC27" s="1">
        <f t="shared" si="22"/>
        <v>0.25072051054747124</v>
      </c>
      <c r="AD27" s="1">
        <f t="shared" si="23"/>
        <v>-9.4018128438023277E-2</v>
      </c>
      <c r="AE27" s="1">
        <f t="shared" si="52"/>
        <v>0.2273726740109405</v>
      </c>
      <c r="AF27" s="1">
        <f t="shared" si="53"/>
        <v>5.5350365200670382E-2</v>
      </c>
      <c r="AG27" s="1">
        <f t="shared" si="54"/>
        <v>0.11576216433992582</v>
      </c>
      <c r="AH27" s="1">
        <f t="shared" si="24"/>
        <v>8.4816911763483271E-2</v>
      </c>
      <c r="AI27" s="1">
        <f t="shared" si="25"/>
        <v>-0.16023949600115273</v>
      </c>
      <c r="AJ27" s="1">
        <f t="shared" si="26"/>
        <v>-4.0963422789214825E-2</v>
      </c>
      <c r="AK27" s="1">
        <f t="shared" si="27"/>
        <v>-8.2511209159010099E-2</v>
      </c>
      <c r="AL27" s="1">
        <f t="shared" si="28"/>
        <v>14.031585879080668</v>
      </c>
      <c r="AM27" s="1">
        <f t="shared" si="29"/>
        <v>12.807784737915448</v>
      </c>
      <c r="AN27" s="1">
        <f t="shared" si="30"/>
        <v>-4.728809430340239</v>
      </c>
      <c r="AO27" s="1">
        <f t="shared" si="55"/>
        <v>0</v>
      </c>
      <c r="AP27" s="1">
        <f t="shared" si="31"/>
        <v>14.031585879080668</v>
      </c>
      <c r="AQ27" s="1">
        <f t="shared" si="32"/>
        <v>8.1011398844445743</v>
      </c>
      <c r="AR27" s="1">
        <f t="shared" si="33"/>
        <v>-4.728809430340239</v>
      </c>
      <c r="AT27" s="1">
        <v>1.44946082730253</v>
      </c>
      <c r="AU27" s="1">
        <v>7.1897713071456399</v>
      </c>
      <c r="AV27" s="1">
        <v>0.22996343914787701</v>
      </c>
      <c r="AW27" s="1">
        <f t="shared" si="34"/>
        <v>1.2570384724894801</v>
      </c>
      <c r="AX27" s="1">
        <f t="shared" si="35"/>
        <v>1.117254054821899</v>
      </c>
      <c r="AY27" s="1">
        <f t="shared" si="36"/>
        <v>0.30238694669153277</v>
      </c>
      <c r="AZ27" s="1">
        <f t="shared" si="56"/>
        <v>1.0466394842751205</v>
      </c>
      <c r="BA27" s="1">
        <f t="shared" si="57"/>
        <v>1.3276530430362583</v>
      </c>
      <c r="BB27" s="1">
        <f t="shared" si="58"/>
        <v>-0.2767320569308771</v>
      </c>
      <c r="BC27" s="1">
        <f t="shared" si="37"/>
        <v>0.71228775819341372</v>
      </c>
      <c r="BD27" s="1">
        <f t="shared" si="38"/>
        <v>-7.1623526724106268E-2</v>
      </c>
      <c r="BE27" s="1">
        <f t="shared" si="39"/>
        <v>0.68801714138856129</v>
      </c>
      <c r="BF27" s="1">
        <f t="shared" si="40"/>
        <v>0.34362189282610028</v>
      </c>
      <c r="BG27" s="1">
        <f t="shared" si="41"/>
        <v>173.27961672777226</v>
      </c>
      <c r="BH27" s="1">
        <f t="shared" si="42"/>
        <v>-35.377879308668369</v>
      </c>
      <c r="BI27" s="1">
        <f t="shared" si="43"/>
        <v>16.470792529375316</v>
      </c>
      <c r="BJ27" s="1">
        <f t="shared" si="59"/>
        <v>0.22996343914787701</v>
      </c>
      <c r="BK27" s="1">
        <f t="shared" si="44"/>
        <v>173.27961672777226</v>
      </c>
      <c r="BL27" s="1">
        <f t="shared" si="45"/>
        <v>-35.377879308668369</v>
      </c>
      <c r="BM27" s="1">
        <f t="shared" si="46"/>
        <v>16.470792529375316</v>
      </c>
      <c r="CA27" s="16">
        <f>Cb</f>
        <v>0</v>
      </c>
    </row>
    <row r="28" spans="1:87" x14ac:dyDescent="0.25">
      <c r="D28" s="1">
        <v>1.0217185611166799</v>
      </c>
      <c r="E28" s="14">
        <v>4.1349378576246698</v>
      </c>
      <c r="F28" s="1">
        <v>0.13482674109234499</v>
      </c>
      <c r="G28" s="1">
        <f t="shared" si="8"/>
        <v>6.2754951322834457E-2</v>
      </c>
      <c r="H28" s="1">
        <f t="shared" si="9"/>
        <v>1.8369204952436406</v>
      </c>
      <c r="I28" s="1">
        <f t="shared" si="10"/>
        <v>0.20567417206146171</v>
      </c>
      <c r="J28" s="1">
        <f t="shared" si="48"/>
        <v>1.1705465847890839</v>
      </c>
      <c r="K28" s="1">
        <f t="shared" si="49"/>
        <v>0.72912886177739133</v>
      </c>
      <c r="L28" s="1">
        <f t="shared" si="50"/>
        <v>-0.88346211453288337</v>
      </c>
      <c r="M28" s="1">
        <f t="shared" si="11"/>
        <v>0.56990263396994256</v>
      </c>
      <c r="N28" s="1">
        <f t="shared" si="12"/>
        <v>0.75052448159302432</v>
      </c>
      <c r="O28" s="1">
        <f t="shared" si="13"/>
        <v>-0.27524183631086646</v>
      </c>
      <c r="P28" s="1">
        <f t="shared" si="14"/>
        <v>-0.55031802677952335</v>
      </c>
      <c r="Q28" s="16">
        <f t="shared" si="15"/>
        <v>83.366714767479166</v>
      </c>
      <c r="R28" s="1">
        <f t="shared" si="16"/>
        <v>99.153037446422047</v>
      </c>
      <c r="S28" s="1">
        <f t="shared" si="17"/>
        <v>18.457217059595362</v>
      </c>
      <c r="T28" s="1">
        <f t="shared" si="51"/>
        <v>0</v>
      </c>
      <c r="U28" s="1">
        <f t="shared" si="18"/>
        <v>83.366714767479166</v>
      </c>
      <c r="V28" s="1">
        <f t="shared" si="19"/>
        <v>48.13179521245884</v>
      </c>
      <c r="W28" s="1">
        <f t="shared" si="20"/>
        <v>18.457217059595362</v>
      </c>
      <c r="Y28" s="1">
        <v>1.59062393251922</v>
      </c>
      <c r="Z28" s="1">
        <v>5.6551080056916403</v>
      </c>
      <c r="AA28" s="1">
        <v>0.239482139845487</v>
      </c>
      <c r="AB28" s="1">
        <f t="shared" si="21"/>
        <v>0.64060236792947112</v>
      </c>
      <c r="AC28" s="1">
        <f t="shared" si="22"/>
        <v>0.97971699302456172</v>
      </c>
      <c r="AD28" s="1">
        <f t="shared" si="23"/>
        <v>-4.6818861369650487E-2</v>
      </c>
      <c r="AE28" s="1">
        <f t="shared" si="52"/>
        <v>0.97772756773498315</v>
      </c>
      <c r="AF28" s="1">
        <f t="shared" si="53"/>
        <v>0.6425917932190498</v>
      </c>
      <c r="AG28" s="1">
        <f t="shared" si="54"/>
        <v>5.3504123001857549E-2</v>
      </c>
      <c r="AH28" s="1">
        <f t="shared" si="24"/>
        <v>0.48609580828620985</v>
      </c>
      <c r="AI28" s="1">
        <f t="shared" si="25"/>
        <v>-0.80403716499983646</v>
      </c>
      <c r="AJ28" s="1">
        <f t="shared" si="26"/>
        <v>-0.23476624763725512</v>
      </c>
      <c r="AK28" s="1">
        <f t="shared" si="27"/>
        <v>0.12155792310342405</v>
      </c>
      <c r="AL28" s="1">
        <f t="shared" si="28"/>
        <v>195.76110544386844</v>
      </c>
      <c r="AM28" s="1">
        <f t="shared" si="29"/>
        <v>22.316155394693677</v>
      </c>
      <c r="AN28" s="1">
        <f t="shared" si="30"/>
        <v>-47.586310115868791</v>
      </c>
      <c r="AO28" s="1">
        <f t="shared" si="55"/>
        <v>0.239482139845487</v>
      </c>
      <c r="AP28" s="1">
        <f t="shared" si="31"/>
        <v>195.76110544386844</v>
      </c>
      <c r="AQ28" s="1">
        <f t="shared" si="32"/>
        <v>22.316155394693677</v>
      </c>
      <c r="AR28" s="1">
        <f t="shared" si="33"/>
        <v>-47.586310115868791</v>
      </c>
      <c r="AT28" s="1">
        <v>1.7379869818871201</v>
      </c>
      <c r="AU28" s="1">
        <v>4.0774348466268604</v>
      </c>
      <c r="AV28" s="1">
        <v>9.4985090588157003E-2</v>
      </c>
      <c r="AW28" s="1">
        <f t="shared" si="34"/>
        <v>2.6496791118929275E-3</v>
      </c>
      <c r="AX28" s="1">
        <f t="shared" si="35"/>
        <v>7.1043878937441463E-2</v>
      </c>
      <c r="AY28" s="1">
        <f t="shared" si="36"/>
        <v>-4.5354023161513948E-2</v>
      </c>
      <c r="AZ28" s="1">
        <f t="shared" si="56"/>
        <v>5.4265320988624854E-2</v>
      </c>
      <c r="BA28" s="1">
        <f t="shared" si="57"/>
        <v>1.9428237060709543E-2</v>
      </c>
      <c r="BB28" s="1">
        <f t="shared" si="58"/>
        <v>5.4064992881061737E-2</v>
      </c>
      <c r="BC28" s="1">
        <f t="shared" si="37"/>
        <v>2.2108067414800318E-2</v>
      </c>
      <c r="BD28" s="1">
        <f t="shared" si="38"/>
        <v>1.3993049830950968E-2</v>
      </c>
      <c r="BE28" s="1">
        <f t="shared" si="39"/>
        <v>2.1354753285295423E-2</v>
      </c>
      <c r="BF28" s="1">
        <f t="shared" si="40"/>
        <v>5.0283977640782351E-3</v>
      </c>
      <c r="BG28" s="1">
        <f t="shared" si="41"/>
        <v>2.0828855760741782</v>
      </c>
      <c r="BH28" s="1">
        <f t="shared" si="42"/>
        <v>6.3635982236052435E-2</v>
      </c>
      <c r="BI28" s="1">
        <f t="shared" si="43"/>
        <v>-1.3291311057974733</v>
      </c>
      <c r="BJ28" s="1">
        <f t="shared" si="59"/>
        <v>9.4985090588157003E-2</v>
      </c>
      <c r="BK28" s="1">
        <f t="shared" si="44"/>
        <v>2.0828855760741782</v>
      </c>
      <c r="BL28" s="1">
        <f t="shared" si="45"/>
        <v>6.3635982236052435E-2</v>
      </c>
      <c r="BM28" s="1">
        <f t="shared" si="46"/>
        <v>-1.2025545480376154</v>
      </c>
    </row>
    <row r="29" spans="1:87" x14ac:dyDescent="0.25">
      <c r="D29" s="1">
        <v>0.69192070685485696</v>
      </c>
      <c r="E29" s="14">
        <v>4.0948929425593796</v>
      </c>
      <c r="F29" s="1">
        <v>8.9261530830517993E-2</v>
      </c>
      <c r="G29" s="1">
        <f t="shared" si="8"/>
        <v>9.5383262295922755E-2</v>
      </c>
      <c r="H29" s="1">
        <f t="shared" si="9"/>
        <v>4.0850116147452402</v>
      </c>
      <c r="I29" s="1">
        <f t="shared" si="10"/>
        <v>0.16429854372667976</v>
      </c>
      <c r="J29" s="1">
        <f t="shared" si="48"/>
        <v>1.5579902400153216</v>
      </c>
      <c r="K29" s="1">
        <f t="shared" si="49"/>
        <v>2.6224046370258418</v>
      </c>
      <c r="L29" s="1">
        <f t="shared" si="50"/>
        <v>-1.929516288347096</v>
      </c>
      <c r="M29" s="1">
        <f t="shared" si="11"/>
        <v>1.2541184631123488</v>
      </c>
      <c r="N29" s="1">
        <f t="shared" si="12"/>
        <v>0.80388867357744165</v>
      </c>
      <c r="O29" s="1">
        <f t="shared" si="13"/>
        <v>-0.6056927063730857</v>
      </c>
      <c r="P29" s="1">
        <f t="shared" si="14"/>
        <v>-0.93534356950255615</v>
      </c>
      <c r="Q29" s="16">
        <f t="shared" si="15"/>
        <v>64.527907424037963</v>
      </c>
      <c r="R29" s="1">
        <f t="shared" si="16"/>
        <v>103.72561486750095</v>
      </c>
      <c r="S29" s="1">
        <f t="shared" si="17"/>
        <v>-10.943547033785041</v>
      </c>
      <c r="T29" s="1">
        <f t="shared" si="51"/>
        <v>0</v>
      </c>
      <c r="U29" s="1">
        <f t="shared" si="18"/>
        <v>64.527907424037963</v>
      </c>
      <c r="V29" s="1">
        <f t="shared" si="19"/>
        <v>37.255204721511568</v>
      </c>
      <c r="W29" s="1">
        <f t="shared" si="20"/>
        <v>-10.943547033785041</v>
      </c>
      <c r="Y29" s="1">
        <v>2.2824319648299598</v>
      </c>
      <c r="Z29" s="1">
        <v>4.1667883267510204</v>
      </c>
      <c r="AA29" s="1">
        <v>0.194339002097737</v>
      </c>
      <c r="AB29" s="1">
        <f t="shared" si="21"/>
        <v>0.11845593001798288</v>
      </c>
      <c r="AC29" s="1">
        <f t="shared" si="22"/>
        <v>2.8795107439189502</v>
      </c>
      <c r="AD29" s="1">
        <f t="shared" si="23"/>
        <v>-0.27607431957281386</v>
      </c>
      <c r="AE29" s="1">
        <f t="shared" si="52"/>
        <v>1.4288322040481911</v>
      </c>
      <c r="AF29" s="1">
        <f t="shared" si="53"/>
        <v>1.5691344698887424</v>
      </c>
      <c r="AG29" s="1">
        <f t="shared" si="54"/>
        <v>1.4061122891928013</v>
      </c>
      <c r="AH29" s="1">
        <f t="shared" si="24"/>
        <v>0.89939000218108012</v>
      </c>
      <c r="AI29" s="1">
        <f t="shared" si="25"/>
        <v>-0.83131279399613733</v>
      </c>
      <c r="AJ29" s="1">
        <f t="shared" si="26"/>
        <v>-0.43437201550644378</v>
      </c>
      <c r="AK29" s="1">
        <f t="shared" si="27"/>
        <v>-0.77011396966181489</v>
      </c>
      <c r="AL29" s="1">
        <f t="shared" si="28"/>
        <v>137.17848291055958</v>
      </c>
      <c r="AM29" s="1">
        <f t="shared" si="29"/>
        <v>191.69958943173887</v>
      </c>
      <c r="AN29" s="1">
        <f t="shared" si="30"/>
        <v>-7.6723477245875902</v>
      </c>
      <c r="AO29" s="1">
        <f t="shared" si="55"/>
        <v>0</v>
      </c>
      <c r="AP29" s="1">
        <f t="shared" si="31"/>
        <v>137.17848291055958</v>
      </c>
      <c r="AQ29" s="1">
        <f t="shared" si="32"/>
        <v>79.200034035436047</v>
      </c>
      <c r="AR29" s="1">
        <f t="shared" si="33"/>
        <v>-7.6723477245875902</v>
      </c>
      <c r="AT29" s="1">
        <v>2.08719781656281</v>
      </c>
      <c r="AU29" s="1">
        <v>4.1200968403057097</v>
      </c>
      <c r="AV29" s="1">
        <v>0.163121230150925</v>
      </c>
      <c r="AW29" s="1">
        <f t="shared" si="34"/>
        <v>4.9979692334041897E-2</v>
      </c>
      <c r="AX29" s="1">
        <f t="shared" si="35"/>
        <v>1.634369217099461</v>
      </c>
      <c r="AY29" s="1">
        <f t="shared" si="36"/>
        <v>-0.1784446460928899</v>
      </c>
      <c r="AZ29" s="1">
        <f t="shared" si="56"/>
        <v>1.0948686965376644</v>
      </c>
      <c r="BA29" s="1">
        <f t="shared" si="57"/>
        <v>0.58948021289583852</v>
      </c>
      <c r="BB29" s="1">
        <f t="shared" si="58"/>
        <v>0.77172576308969265</v>
      </c>
      <c r="BC29" s="1">
        <f t="shared" si="37"/>
        <v>0.50530467283005087</v>
      </c>
      <c r="BD29" s="1">
        <f t="shared" si="38"/>
        <v>0.19973732508388814</v>
      </c>
      <c r="BE29" s="1">
        <f t="shared" si="39"/>
        <v>0.48808683363109423</v>
      </c>
      <c r="BF29" s="1">
        <f t="shared" si="40"/>
        <v>0.15256870580853135</v>
      </c>
      <c r="BG29" s="1">
        <f t="shared" si="41"/>
        <v>83.34571020784081</v>
      </c>
      <c r="BH29" s="1">
        <f t="shared" si="42"/>
        <v>-3.432704411037407</v>
      </c>
      <c r="BI29" s="1">
        <f t="shared" si="43"/>
        <v>-32.581398174739064</v>
      </c>
      <c r="BJ29" s="1">
        <f t="shared" si="59"/>
        <v>0.163121230150925</v>
      </c>
      <c r="BK29" s="1">
        <f t="shared" si="44"/>
        <v>83.34571020784081</v>
      </c>
      <c r="BL29" s="1">
        <f t="shared" si="45"/>
        <v>-3.432704411037407</v>
      </c>
      <c r="BM29" s="1">
        <f t="shared" si="46"/>
        <v>-32.581398174739064</v>
      </c>
      <c r="BP29" s="90" t="s">
        <v>86</v>
      </c>
      <c r="BQ29" s="90"/>
      <c r="BR29" s="90"/>
      <c r="BS29" s="90"/>
      <c r="BT29" s="90"/>
      <c r="BU29" s="90"/>
      <c r="BV29" s="90"/>
      <c r="BW29" s="90"/>
      <c r="BX29" s="90"/>
      <c r="BY29" s="90"/>
      <c r="CA29" s="32" t="s">
        <v>87</v>
      </c>
      <c r="CC29" s="32" t="s">
        <v>88</v>
      </c>
    </row>
    <row r="30" spans="1:87" x14ac:dyDescent="0.25">
      <c r="D30" s="1">
        <v>1.1605186889019901</v>
      </c>
      <c r="E30" s="14">
        <v>4.1649614403772297</v>
      </c>
      <c r="F30" s="1">
        <v>0.15147885124270499</v>
      </c>
      <c r="G30" s="1">
        <f t="shared" si="8"/>
        <v>4.7864646911905367E-2</v>
      </c>
      <c r="H30" s="1">
        <f t="shared" si="9"/>
        <v>1.0849861739422675</v>
      </c>
      <c r="I30" s="1">
        <f t="shared" si="10"/>
        <v>0.20219870050801475</v>
      </c>
      <c r="J30" s="1">
        <f t="shared" si="48"/>
        <v>0.77207466585412976</v>
      </c>
      <c r="K30" s="1">
        <f t="shared" si="49"/>
        <v>0.36077615500004301</v>
      </c>
      <c r="L30" s="1">
        <f t="shared" si="50"/>
        <v>-0.51720205305748745</v>
      </c>
      <c r="M30" s="1">
        <f t="shared" si="11"/>
        <v>0.3398552462562518</v>
      </c>
      <c r="N30" s="1">
        <f t="shared" si="12"/>
        <v>0.51199130419249761</v>
      </c>
      <c r="O30" s="1">
        <f t="shared" si="13"/>
        <v>-0.16413747977937232</v>
      </c>
      <c r="P30" s="1">
        <f t="shared" si="14"/>
        <v>-0.33927220977638489</v>
      </c>
      <c r="Q30" s="16">
        <f t="shared" si="15"/>
        <v>63.583441604398026</v>
      </c>
      <c r="R30" s="1">
        <f t="shared" si="16"/>
        <v>70.242629805798444</v>
      </c>
      <c r="S30" s="1">
        <f t="shared" si="17"/>
        <v>17.245628618758378</v>
      </c>
      <c r="T30" s="1">
        <f t="shared" si="51"/>
        <v>0</v>
      </c>
      <c r="U30" s="1">
        <f t="shared" si="18"/>
        <v>63.583441604398026</v>
      </c>
      <c r="V30" s="1">
        <f t="shared" si="19"/>
        <v>36.709917126302045</v>
      </c>
      <c r="W30" s="1">
        <f t="shared" si="20"/>
        <v>17.245628618758378</v>
      </c>
      <c r="Y30" s="1">
        <v>2.6064522725336601</v>
      </c>
      <c r="Z30" s="1">
        <v>4.0002260637175304</v>
      </c>
      <c r="AA30" s="1">
        <v>4.4690354710948003E-2</v>
      </c>
      <c r="AB30" s="1">
        <f t="shared" si="21"/>
        <v>3.0084445163566982E-4</v>
      </c>
      <c r="AC30" s="1">
        <f t="shared" si="22"/>
        <v>5.3234326982517457</v>
      </c>
      <c r="AD30" s="1">
        <f t="shared" si="23"/>
        <v>-3.7478709417336021E-4</v>
      </c>
      <c r="AE30" s="1">
        <f t="shared" si="52"/>
        <v>1.3843112219875853</v>
      </c>
      <c r="AF30" s="1">
        <f t="shared" si="53"/>
        <v>3.9394223207157966</v>
      </c>
      <c r="AG30" s="1">
        <f t="shared" si="54"/>
        <v>2.3349058100894973</v>
      </c>
      <c r="AH30" s="1">
        <f t="shared" si="24"/>
        <v>1.5971200628110145</v>
      </c>
      <c r="AI30" s="1">
        <f t="shared" si="25"/>
        <v>-0.55368081446813111</v>
      </c>
      <c r="AJ30" s="1">
        <f t="shared" si="26"/>
        <v>-0.77134975817678963</v>
      </c>
      <c r="AK30" s="1">
        <f t="shared" si="27"/>
        <v>-0.93358925452877894</v>
      </c>
      <c r="AL30" s="1">
        <f t="shared" si="28"/>
        <v>26.549005748820846</v>
      </c>
      <c r="AM30" s="1">
        <f t="shared" si="29"/>
        <v>50.308027731530338</v>
      </c>
      <c r="AN30" s="1">
        <f t="shared" si="30"/>
        <v>17.481440182000245</v>
      </c>
      <c r="AO30" s="1">
        <f t="shared" si="55"/>
        <v>0</v>
      </c>
      <c r="AP30" s="1">
        <f t="shared" si="31"/>
        <v>26.549005748820846</v>
      </c>
      <c r="AQ30" s="1">
        <f t="shared" si="32"/>
        <v>15.328075615798637</v>
      </c>
      <c r="AR30" s="1">
        <f t="shared" si="33"/>
        <v>15.328075615798637</v>
      </c>
      <c r="AT30" s="1">
        <v>0.64376776076643505</v>
      </c>
      <c r="AU30" s="1">
        <v>3.9978752570651301</v>
      </c>
      <c r="AV30" s="1">
        <v>3.3211420115294002E-2</v>
      </c>
      <c r="AW30" s="1">
        <f t="shared" si="34"/>
        <v>-2.4284706128580645E-3</v>
      </c>
      <c r="AX30" s="1">
        <f t="shared" si="35"/>
        <v>4.5700163195807235</v>
      </c>
      <c r="AY30" s="1">
        <f t="shared" si="36"/>
        <v>-3.8618840961595637E-3</v>
      </c>
      <c r="AZ30" s="1">
        <f t="shared" si="56"/>
        <v>1.6485302110834961</v>
      </c>
      <c r="BA30" s="1">
        <f t="shared" si="57"/>
        <v>2.9190576378843689</v>
      </c>
      <c r="BB30" s="1">
        <f t="shared" si="58"/>
        <v>-2.1961939277822364</v>
      </c>
      <c r="BC30" s="1">
        <f t="shared" si="37"/>
        <v>1.3702763546903594</v>
      </c>
      <c r="BD30" s="1">
        <f t="shared" si="38"/>
        <v>-0.56841681524855325</v>
      </c>
      <c r="BE30" s="1">
        <f t="shared" si="39"/>
        <v>1.3235853201486578</v>
      </c>
      <c r="BF30" s="1">
        <f t="shared" si="40"/>
        <v>0.75550771043645271</v>
      </c>
      <c r="BG30" s="1">
        <f t="shared" si="41"/>
        <v>48.954464472387826</v>
      </c>
      <c r="BH30" s="1">
        <f t="shared" si="42"/>
        <v>-12.859306465715113</v>
      </c>
      <c r="BI30" s="1">
        <f t="shared" si="43"/>
        <v>18.877929651817144</v>
      </c>
      <c r="BJ30" s="1">
        <f t="shared" si="59"/>
        <v>3.3211420115294002E-2</v>
      </c>
      <c r="BK30" s="1">
        <f t="shared" si="44"/>
        <v>48.954464472387826</v>
      </c>
      <c r="BL30" s="1">
        <f t="shared" si="45"/>
        <v>-12.859306465715113</v>
      </c>
      <c r="BM30" s="1">
        <f t="shared" si="46"/>
        <v>18.877929651817144</v>
      </c>
      <c r="BP30" s="1">
        <f>BP17</f>
        <v>0</v>
      </c>
      <c r="BQ30" s="1">
        <f t="shared" ref="BQ30:BY30" si="61">BQ17</f>
        <v>-2.2414386804201339E-2</v>
      </c>
      <c r="BR30" s="1">
        <f t="shared" si="61"/>
        <v>-4.9999999999999982E-2</v>
      </c>
      <c r="BS30" s="1">
        <f t="shared" si="61"/>
        <v>0.83651630373780794</v>
      </c>
      <c r="BT30" s="1">
        <f t="shared" si="61"/>
        <v>2.2414386804201328E-2</v>
      </c>
      <c r="BU30" s="1">
        <f t="shared" si="61"/>
        <v>-5.0000000000000044E-2</v>
      </c>
      <c r="BV30" s="1">
        <f t="shared" si="61"/>
        <v>-0.83651630373780761</v>
      </c>
      <c r="BW30" s="1">
        <f t="shared" si="61"/>
        <v>6.341835064165555E-18</v>
      </c>
      <c r="BX30" s="1">
        <f t="shared" si="61"/>
        <v>0.1</v>
      </c>
      <c r="BY30" s="1">
        <f t="shared" si="61"/>
        <v>-2.3668050672687681E-16</v>
      </c>
      <c r="CA30" s="16">
        <f>CA17</f>
        <v>15.570182376865333</v>
      </c>
      <c r="CC30" s="19" cm="1">
        <f t="array" ref="CC30:CC39">MMULT(MINVERSE($BP$30:$BY$39),$CA$30:$CA$39)</f>
        <v>9995.0165125093008</v>
      </c>
      <c r="CH30" s="80" t="s">
        <v>174</v>
      </c>
    </row>
    <row r="31" spans="1:87" x14ac:dyDescent="0.25">
      <c r="D31" s="1">
        <v>0.92695344771855104</v>
      </c>
      <c r="E31" s="14">
        <v>4.2977882933790603</v>
      </c>
      <c r="F31" s="1">
        <v>0.17880796894972101</v>
      </c>
      <c r="G31" s="1">
        <f t="shared" si="8"/>
        <v>0.17832187778878489</v>
      </c>
      <c r="H31" s="1">
        <f t="shared" si="9"/>
        <v>2.4170160263263862</v>
      </c>
      <c r="I31" s="1">
        <f t="shared" si="10"/>
        <v>0.43682905895618568</v>
      </c>
      <c r="J31" s="1">
        <f t="shared" si="48"/>
        <v>1.1909121413928183</v>
      </c>
      <c r="K31" s="1">
        <f t="shared" si="49"/>
        <v>1.4044257627223531</v>
      </c>
      <c r="L31" s="1">
        <f t="shared" si="50"/>
        <v>-1.1968126347926638</v>
      </c>
      <c r="M31" s="1">
        <f t="shared" si="11"/>
        <v>0.77860137123455142</v>
      </c>
      <c r="N31" s="1">
        <f t="shared" si="12"/>
        <v>0.6864595192907289</v>
      </c>
      <c r="O31" s="1">
        <f t="shared" si="13"/>
        <v>-0.3760355864297677</v>
      </c>
      <c r="P31" s="1">
        <f t="shared" si="14"/>
        <v>-0.63766114669828733</v>
      </c>
      <c r="Q31" s="16">
        <f t="shared" si="15"/>
        <v>105.6409948697691</v>
      </c>
      <c r="R31" s="1">
        <f t="shared" si="16"/>
        <v>146.3474648754659</v>
      </c>
      <c r="S31" s="1">
        <f t="shared" si="17"/>
        <v>3.1422620072068508</v>
      </c>
      <c r="T31" s="1">
        <f t="shared" si="51"/>
        <v>0</v>
      </c>
      <c r="U31" s="1">
        <f t="shared" si="18"/>
        <v>105.6409948697691</v>
      </c>
      <c r="V31" s="1">
        <f t="shared" si="19"/>
        <v>60.991856825521062</v>
      </c>
      <c r="W31" s="1">
        <f t="shared" si="20"/>
        <v>3.1422620072068508</v>
      </c>
      <c r="Y31" s="1">
        <v>2.0494637792321901</v>
      </c>
      <c r="Z31" s="1">
        <v>4.4184319652852997</v>
      </c>
      <c r="AA31" s="1">
        <v>0.21441749295482601</v>
      </c>
      <c r="AB31" s="1">
        <f t="shared" si="21"/>
        <v>0.17347237012404423</v>
      </c>
      <c r="AC31" s="1">
        <f t="shared" si="22"/>
        <v>1.5530299430337706</v>
      </c>
      <c r="AD31" s="1">
        <f t="shared" si="23"/>
        <v>-0.48221065657007628</v>
      </c>
      <c r="AE31" s="1">
        <f t="shared" si="52"/>
        <v>0.86607316099595533</v>
      </c>
      <c r="AF31" s="1">
        <f t="shared" si="53"/>
        <v>0.86042915216185922</v>
      </c>
      <c r="AG31" s="1">
        <f t="shared" si="54"/>
        <v>0.84161388287263783</v>
      </c>
      <c r="AH31" s="1">
        <f t="shared" si="24"/>
        <v>0.51795069394734439</v>
      </c>
      <c r="AI31" s="1">
        <f t="shared" si="25"/>
        <v>-0.50665861789273492</v>
      </c>
      <c r="AJ31" s="1">
        <f t="shared" si="26"/>
        <v>-0.25015097601404274</v>
      </c>
      <c r="AK31" s="1">
        <f t="shared" si="27"/>
        <v>-0.48132828293413926</v>
      </c>
      <c r="AL31" s="1">
        <f t="shared" si="28"/>
        <v>90.069265272530785</v>
      </c>
      <c r="AM31" s="1">
        <f t="shared" si="29"/>
        <v>130.97987599313782</v>
      </c>
      <c r="AN31" s="1">
        <f t="shared" si="30"/>
        <v>-7.8674514511893747</v>
      </c>
      <c r="AO31" s="1">
        <f t="shared" si="55"/>
        <v>0</v>
      </c>
      <c r="AP31" s="1">
        <f t="shared" si="31"/>
        <v>90.069265272530785</v>
      </c>
      <c r="AQ31" s="1">
        <f t="shared" si="32"/>
        <v>52.001514550807457</v>
      </c>
      <c r="AR31" s="1">
        <f t="shared" si="33"/>
        <v>-7.8674514511893747</v>
      </c>
      <c r="AT31" s="1">
        <v>0.85739248366347398</v>
      </c>
      <c r="AU31" s="1">
        <v>4.2483615555227896</v>
      </c>
      <c r="AV31" s="1">
        <v>0.140381114616171</v>
      </c>
      <c r="AW31" s="1">
        <f t="shared" si="34"/>
        <v>0.17365734163554244</v>
      </c>
      <c r="AX31" s="1">
        <f t="shared" si="35"/>
        <v>2.8555084581061032</v>
      </c>
      <c r="AY31" s="1">
        <f t="shared" si="36"/>
        <v>0.38845771268278234</v>
      </c>
      <c r="AZ31" s="1">
        <f t="shared" si="56"/>
        <v>1.3225566957813137</v>
      </c>
      <c r="BA31" s="1">
        <f t="shared" si="57"/>
        <v>1.7066091039603317</v>
      </c>
      <c r="BB31" s="1">
        <f t="shared" si="58"/>
        <v>-1.3827894576595208</v>
      </c>
      <c r="BC31" s="1">
        <f t="shared" si="37"/>
        <v>0.90874973992249353</v>
      </c>
      <c r="BD31" s="1">
        <f t="shared" si="38"/>
        <v>-0.35789224700927003</v>
      </c>
      <c r="BE31" s="1">
        <f t="shared" si="39"/>
        <v>0.87778484342461049</v>
      </c>
      <c r="BF31" s="1">
        <f t="shared" si="40"/>
        <v>0.44170293865028193</v>
      </c>
      <c r="BG31" s="1">
        <f t="shared" si="41"/>
        <v>135.07417264747451</v>
      </c>
      <c r="BH31" s="1">
        <f t="shared" si="42"/>
        <v>-28.001096707645303</v>
      </c>
      <c r="BI31" s="1">
        <f t="shared" si="43"/>
        <v>50.24131254764729</v>
      </c>
      <c r="BJ31" s="1">
        <f t="shared" si="59"/>
        <v>0.140381114616171</v>
      </c>
      <c r="BK31" s="1">
        <f t="shared" si="44"/>
        <v>135.07417264747451</v>
      </c>
      <c r="BL31" s="1">
        <f t="shared" si="45"/>
        <v>-28.001096707645303</v>
      </c>
      <c r="BM31" s="1">
        <f t="shared" si="46"/>
        <v>50.24131254764729</v>
      </c>
      <c r="BP31" s="1">
        <f t="shared" ref="BP31:BY31" si="62">BP18</f>
        <v>0</v>
      </c>
      <c r="BQ31" s="1">
        <f t="shared" si="62"/>
        <v>1.2940952255126032E-2</v>
      </c>
      <c r="BR31" s="1">
        <f t="shared" si="62"/>
        <v>-8.6602540378443879E-2</v>
      </c>
      <c r="BS31" s="1">
        <f t="shared" si="62"/>
        <v>-0.48296291314453393</v>
      </c>
      <c r="BT31" s="1">
        <f t="shared" si="62"/>
        <v>1.2940952255126049E-2</v>
      </c>
      <c r="BU31" s="1">
        <f t="shared" si="62"/>
        <v>8.6602540378443837E-2</v>
      </c>
      <c r="BV31" s="1">
        <f t="shared" si="62"/>
        <v>-0.4829629131445346</v>
      </c>
      <c r="BW31" s="1">
        <f t="shared" si="62"/>
        <v>-2.5881904510252074E-2</v>
      </c>
      <c r="BX31" s="1">
        <f t="shared" si="62"/>
        <v>2.4502969098172397E-17</v>
      </c>
      <c r="BY31" s="1">
        <f t="shared" si="62"/>
        <v>0.96592582628906831</v>
      </c>
      <c r="CA31" s="16">
        <f t="shared" ref="CA31:CA38" si="63">CA18</f>
        <v>598.90563982541084</v>
      </c>
      <c r="CC31" s="19">
        <v>28077.483035988767</v>
      </c>
      <c r="CD31" t="s">
        <v>307</v>
      </c>
      <c r="CE31" s="1">
        <f>(CC31*mxa+CC32*kxa-CC33*nxa)/SQRT(CC31^2+CC32^2+CC33^2)</f>
        <v>-3.4401063225950886E-4</v>
      </c>
      <c r="CF31" s="1">
        <f>(CC31*mya+CC32*kya-CC33*nya)/SQRT(CC31^2+CC32^2+CC33^2)</f>
        <v>-1.3232337478994351E-2</v>
      </c>
      <c r="CG31" s="1">
        <f>(CC31*mza+CC32*kza-CC33*nza)/SQRT(CC31^2+CC32^2+CC33^2)</f>
        <v>-0.99991238961297346</v>
      </c>
      <c r="CH31" s="3" t="str">
        <f>IF(AND(CE31*nxa+CF31*nya+CG31*nza&lt;=0,CE31*nxb+CF31*nyb+CG31*nzb&lt;=0,CE31*nxc+CF31*nyc+CG31*nzc&lt;=0),"ok","wrong")</f>
        <v>ok</v>
      </c>
      <c r="CI31" s="19">
        <f>CC30</f>
        <v>9995.0165125093008</v>
      </c>
    </row>
    <row r="32" spans="1:87" x14ac:dyDescent="0.25">
      <c r="D32" s="1">
        <v>1.55966683405855</v>
      </c>
      <c r="E32" s="14">
        <v>9.0559330119025692</v>
      </c>
      <c r="F32" s="1">
        <v>0.215273223618796</v>
      </c>
      <c r="G32" s="1">
        <f t="shared" si="8"/>
        <v>1.7279621679618296</v>
      </c>
      <c r="H32" s="1">
        <f t="shared" si="9"/>
        <v>1.0447487841758107</v>
      </c>
      <c r="I32" s="1">
        <f t="shared" si="10"/>
        <v>2.6838252241916005E-2</v>
      </c>
      <c r="J32" s="1">
        <f t="shared" si="48"/>
        <v>1.0442360643862398</v>
      </c>
      <c r="K32" s="1">
        <f t="shared" si="49"/>
        <v>1.7284748877514</v>
      </c>
      <c r="L32" s="1">
        <f t="shared" si="50"/>
        <v>-1.9228413336817282E-2</v>
      </c>
      <c r="M32" s="1">
        <f t="shared" si="11"/>
        <v>0.83181328564129198</v>
      </c>
      <c r="N32" s="1">
        <f t="shared" si="12"/>
        <v>0.86854381323142138</v>
      </c>
      <c r="O32" s="1">
        <f t="shared" si="13"/>
        <v>-0.4017349676256447</v>
      </c>
      <c r="P32" s="1">
        <f t="shared" si="14"/>
        <v>0.43127733868024687</v>
      </c>
      <c r="Q32" s="16">
        <f t="shared" si="15"/>
        <v>222.20436258138406</v>
      </c>
      <c r="R32" s="1">
        <f t="shared" si="16"/>
        <v>-36.578110936574461</v>
      </c>
      <c r="S32" s="1">
        <f t="shared" si="17"/>
        <v>18.590827476976276</v>
      </c>
      <c r="T32" s="1">
        <f t="shared" si="51"/>
        <v>0.215273223618796</v>
      </c>
      <c r="U32" s="1">
        <f t="shared" si="18"/>
        <v>222.20436258138406</v>
      </c>
      <c r="V32" s="1">
        <f t="shared" si="19"/>
        <v>-36.578110936574461</v>
      </c>
      <c r="W32" s="1">
        <f t="shared" si="20"/>
        <v>18.590827476976276</v>
      </c>
      <c r="Y32" s="1">
        <v>1.5870666242785201</v>
      </c>
      <c r="Z32" s="1">
        <v>7.0266121429471697</v>
      </c>
      <c r="AA32" s="1">
        <v>0.24418148034519799</v>
      </c>
      <c r="AB32" s="1">
        <f t="shared" si="21"/>
        <v>1.2040285400496842</v>
      </c>
      <c r="AC32" s="1">
        <f t="shared" si="22"/>
        <v>1.0816658400518573</v>
      </c>
      <c r="AD32" s="1">
        <f t="shared" si="23"/>
        <v>-4.0985985561135127E-2</v>
      </c>
      <c r="AE32" s="1">
        <f t="shared" si="52"/>
        <v>1.0803647563705143</v>
      </c>
      <c r="AF32" s="1">
        <f t="shared" si="53"/>
        <v>1.2053296237310269</v>
      </c>
      <c r="AG32" s="1">
        <f t="shared" si="54"/>
        <v>3.8973761449204593E-2</v>
      </c>
      <c r="AH32" s="1">
        <f t="shared" si="24"/>
        <v>0.6857083140304624</v>
      </c>
      <c r="AI32" s="1">
        <f t="shared" si="25"/>
        <v>-0.89365558096532316</v>
      </c>
      <c r="AJ32" s="1">
        <f t="shared" si="26"/>
        <v>-0.33117168491157944</v>
      </c>
      <c r="AK32" s="1">
        <f t="shared" si="27"/>
        <v>0.27936007537759733</v>
      </c>
      <c r="AL32" s="1">
        <f t="shared" si="28"/>
        <v>239.25018969957017</v>
      </c>
      <c r="AM32" s="1">
        <f t="shared" si="29"/>
        <v>-6.5140106467399956</v>
      </c>
      <c r="AN32" s="1">
        <f t="shared" si="30"/>
        <v>-39.075067731267886</v>
      </c>
      <c r="AO32" s="1">
        <f t="shared" si="55"/>
        <v>0.24418148034519799</v>
      </c>
      <c r="AP32" s="1">
        <f t="shared" si="31"/>
        <v>239.25018969957017</v>
      </c>
      <c r="AQ32" s="1">
        <f t="shared" si="32"/>
        <v>-6.5140106467399956</v>
      </c>
      <c r="AR32" s="1">
        <f t="shared" si="33"/>
        <v>-39.075067731267886</v>
      </c>
      <c r="AT32" s="1">
        <v>0.915241290243197</v>
      </c>
      <c r="AU32" s="1">
        <v>4.1698780639924102</v>
      </c>
      <c r="AV32" s="1">
        <v>0.109556974611612</v>
      </c>
      <c r="AW32" s="1">
        <f t="shared" si="34"/>
        <v>0.10598333300141383</v>
      </c>
      <c r="AX32" s="1">
        <f t="shared" si="35"/>
        <v>2.5108720939456148</v>
      </c>
      <c r="AY32" s="1">
        <f t="shared" si="36"/>
        <v>0.27414301436984934</v>
      </c>
      <c r="AZ32" s="1">
        <f t="shared" si="56"/>
        <v>1.3522370200606397</v>
      </c>
      <c r="BA32" s="1">
        <f t="shared" si="57"/>
        <v>1.264618406886389</v>
      </c>
      <c r="BB32" s="1">
        <f t="shared" si="58"/>
        <v>-1.2325208416546458</v>
      </c>
      <c r="BC32" s="1">
        <f t="shared" si="37"/>
        <v>0.7850566280841087</v>
      </c>
      <c r="BD32" s="1">
        <f t="shared" si="38"/>
        <v>-0.31899986730601093</v>
      </c>
      <c r="BE32" s="1">
        <f t="shared" si="39"/>
        <v>0.75830647216585245</v>
      </c>
      <c r="BF32" s="1">
        <f t="shared" si="40"/>
        <v>0.32730732848940652</v>
      </c>
      <c r="BG32" s="1">
        <f t="shared" si="41"/>
        <v>89.527897343555694</v>
      </c>
      <c r="BH32" s="1">
        <f t="shared" si="42"/>
        <v>-13.134834406235253</v>
      </c>
      <c r="BI32" s="1">
        <f t="shared" si="43"/>
        <v>34.948660363552214</v>
      </c>
      <c r="BJ32" s="1">
        <f t="shared" si="59"/>
        <v>0.109556974611612</v>
      </c>
      <c r="BK32" s="1">
        <f t="shared" si="44"/>
        <v>89.527897343555694</v>
      </c>
      <c r="BL32" s="1">
        <f t="shared" si="45"/>
        <v>-13.134834406235253</v>
      </c>
      <c r="BM32" s="1">
        <f t="shared" si="46"/>
        <v>34.948660363552214</v>
      </c>
      <c r="BP32" s="1">
        <f t="shared" ref="BP32:BY32" si="64">BP19</f>
        <v>-1</v>
      </c>
      <c r="BQ32" s="1">
        <f t="shared" si="64"/>
        <v>9.659258262890684E-2</v>
      </c>
      <c r="BR32" s="1">
        <f t="shared" si="64"/>
        <v>0</v>
      </c>
      <c r="BS32" s="1">
        <f t="shared" si="64"/>
        <v>0.25881904510252074</v>
      </c>
      <c r="BT32" s="1">
        <f t="shared" si="64"/>
        <v>9.659258262890684E-2</v>
      </c>
      <c r="BU32" s="1">
        <f t="shared" si="64"/>
        <v>0</v>
      </c>
      <c r="BV32" s="1">
        <f t="shared" si="64"/>
        <v>0.25881904510252074</v>
      </c>
      <c r="BW32" s="1">
        <f t="shared" si="64"/>
        <v>9.659258262890684E-2</v>
      </c>
      <c r="BX32" s="1">
        <f t="shared" si="64"/>
        <v>0</v>
      </c>
      <c r="BY32" s="1">
        <f t="shared" si="64"/>
        <v>0.25881904510252074</v>
      </c>
      <c r="CA32" s="16">
        <f t="shared" si="63"/>
        <v>3959.1374404023773</v>
      </c>
      <c r="CC32" s="19">
        <v>-337.56327233009557</v>
      </c>
      <c r="CD32" t="s">
        <v>308</v>
      </c>
      <c r="CE32" s="1">
        <f>(CC34*mxb+CC35*kxb-CC36*nxb)/SQRT(CC34^2+CC35^2+CC36^2)</f>
        <v>-3.4401063225957147E-4</v>
      </c>
      <c r="CF32" s="1">
        <f>(CC34*myb+CC35*kyb-CC36*nyb)/SQRT(CC34^2+CC35^2+CC36^2)</f>
        <v>-1.3232337478994381E-2</v>
      </c>
      <c r="CG32" s="1">
        <f>(CC34*mzb+CC35*kzb-CC36*nzb)/SQRT(CC34^2+CC35^2+CC36^2)</f>
        <v>-0.99991238961297346</v>
      </c>
      <c r="CH32" s="3" t="str">
        <f>IF(AND(CE32*nxa+CF32*nya+CG32*nza&lt;=0,CE32*nxb+CF32*nyb+CG32*nzb&lt;=0,CE32*nxc+CF32*nyc+CG32*nzc&lt;=0),"ok","wrong")</f>
        <v>ok</v>
      </c>
    </row>
    <row r="33" spans="4:86" x14ac:dyDescent="0.25">
      <c r="D33" s="1">
        <v>1.5546559026871201</v>
      </c>
      <c r="E33" s="14">
        <v>7.6721913823514996</v>
      </c>
      <c r="F33" s="1">
        <v>0.26448796882077202</v>
      </c>
      <c r="G33" s="1">
        <f t="shared" si="8"/>
        <v>1.4048779726591956</v>
      </c>
      <c r="H33" s="1">
        <f t="shared" si="9"/>
        <v>1.0781783894382775</v>
      </c>
      <c r="I33" s="1">
        <f t="shared" si="10"/>
        <v>4.0320575954863574E-2</v>
      </c>
      <c r="J33" s="1">
        <f t="shared" si="48"/>
        <v>1.0769621352800662</v>
      </c>
      <c r="K33" s="1">
        <f t="shared" si="49"/>
        <v>1.4060942268174068</v>
      </c>
      <c r="L33" s="1">
        <f t="shared" si="50"/>
        <v>-3.502741561371895E-2</v>
      </c>
      <c r="M33" s="1">
        <f t="shared" si="11"/>
        <v>0.74491690862924198</v>
      </c>
      <c r="N33" s="1">
        <f t="shared" si="12"/>
        <v>0.89183062240850619</v>
      </c>
      <c r="O33" s="1">
        <f t="shared" si="13"/>
        <v>-0.3597672402421993</v>
      </c>
      <c r="P33" s="1">
        <f t="shared" si="14"/>
        <v>0.3346229608703723</v>
      </c>
      <c r="Q33" s="16">
        <f t="shared" si="15"/>
        <v>266.17854561258633</v>
      </c>
      <c r="R33" s="1">
        <f t="shared" si="16"/>
        <v>-20.303495056670116</v>
      </c>
      <c r="S33" s="1">
        <f t="shared" si="17"/>
        <v>35.533361319236725</v>
      </c>
      <c r="T33" s="1">
        <f t="shared" si="51"/>
        <v>0.26448796882077202</v>
      </c>
      <c r="U33" s="1">
        <f t="shared" si="18"/>
        <v>266.17854561258633</v>
      </c>
      <c r="V33" s="1">
        <f t="shared" si="19"/>
        <v>-20.303495056670116</v>
      </c>
      <c r="W33" s="1">
        <f t="shared" si="20"/>
        <v>35.533361319236725</v>
      </c>
      <c r="Y33" s="1">
        <v>1.7879073622348101</v>
      </c>
      <c r="Z33" s="1">
        <v>4.1382785114890304</v>
      </c>
      <c r="AA33" s="1">
        <v>0.119893078884812</v>
      </c>
      <c r="AB33" s="1">
        <f t="shared" si="21"/>
        <v>1.376037555024294E-2</v>
      </c>
      <c r="AC33" s="1">
        <f t="shared" si="22"/>
        <v>0.29237438124649406</v>
      </c>
      <c r="AD33" s="1">
        <f t="shared" si="23"/>
        <v>-9.934996382413927E-2</v>
      </c>
      <c r="AE33" s="1">
        <f t="shared" si="52"/>
        <v>0.23764935039210938</v>
      </c>
      <c r="AF33" s="1">
        <f t="shared" si="53"/>
        <v>6.8485406404627622E-2</v>
      </c>
      <c r="AG33" s="1">
        <f t="shared" si="54"/>
        <v>0.14873717211254045</v>
      </c>
      <c r="AH33" s="1">
        <f t="shared" si="24"/>
        <v>9.1840427039021108E-2</v>
      </c>
      <c r="AI33" s="1">
        <f t="shared" si="25"/>
        <v>-0.16030154331828145</v>
      </c>
      <c r="AJ33" s="1">
        <f t="shared" si="26"/>
        <v>-4.435552018720372E-2</v>
      </c>
      <c r="AK33" s="1">
        <f t="shared" si="27"/>
        <v>-0.10669574195489268</v>
      </c>
      <c r="AL33" s="1">
        <f t="shared" si="28"/>
        <v>15.334568855043656</v>
      </c>
      <c r="AM33" s="1">
        <f t="shared" si="29"/>
        <v>17.352222105278681</v>
      </c>
      <c r="AN33" s="1">
        <f t="shared" si="30"/>
        <v>-5.0040690771610148</v>
      </c>
      <c r="AO33" s="1">
        <f t="shared" si="55"/>
        <v>0</v>
      </c>
      <c r="AP33" s="1">
        <f t="shared" si="31"/>
        <v>15.334568855043656</v>
      </c>
      <c r="AQ33" s="1">
        <f t="shared" si="32"/>
        <v>8.8534174563663051</v>
      </c>
      <c r="AR33" s="1">
        <f t="shared" si="33"/>
        <v>-5.0040690771610148</v>
      </c>
      <c r="AT33" s="1">
        <v>1.9156275007491901</v>
      </c>
      <c r="AU33" s="1">
        <v>4.2046626259124098</v>
      </c>
      <c r="AV33" s="1">
        <v>0.23869010869757701</v>
      </c>
      <c r="AW33" s="1">
        <f t="shared" si="34"/>
        <v>4.7934195958093756E-2</v>
      </c>
      <c r="AX33" s="1">
        <f t="shared" si="35"/>
        <v>0.82291994996014894</v>
      </c>
      <c r="AY33" s="1">
        <f t="shared" si="36"/>
        <v>-0.21216819224039601</v>
      </c>
      <c r="AZ33" s="1">
        <f t="shared" si="56"/>
        <v>0.5993649920315538</v>
      </c>
      <c r="BA33" s="1">
        <f t="shared" si="57"/>
        <v>0.27148915388668893</v>
      </c>
      <c r="BB33" s="1">
        <f t="shared" si="58"/>
        <v>0.41023216623674419</v>
      </c>
      <c r="BC33" s="1">
        <f t="shared" si="37"/>
        <v>0.2612562437754728</v>
      </c>
      <c r="BD33" s="1">
        <f t="shared" si="38"/>
        <v>0.10617589753573255</v>
      </c>
      <c r="BE33" s="1">
        <f t="shared" si="39"/>
        <v>0.25235415314200182</v>
      </c>
      <c r="BF33" s="1">
        <f t="shared" si="40"/>
        <v>7.0266563564644044E-2</v>
      </c>
      <c r="BG33" s="1">
        <f t="shared" si="41"/>
        <v>62.5228973269788</v>
      </c>
      <c r="BH33" s="1">
        <f t="shared" si="42"/>
        <v>-0.6106236066846551</v>
      </c>
      <c r="BI33" s="1">
        <f t="shared" si="43"/>
        <v>-25.343136523866814</v>
      </c>
      <c r="BJ33" s="1">
        <f t="shared" si="59"/>
        <v>0.23869010869757701</v>
      </c>
      <c r="BK33" s="1">
        <f t="shared" si="44"/>
        <v>62.5228973269788</v>
      </c>
      <c r="BL33" s="1">
        <f t="shared" si="45"/>
        <v>-0.6106236066846551</v>
      </c>
      <c r="BM33" s="1">
        <f t="shared" si="46"/>
        <v>-25.343136523866814</v>
      </c>
      <c r="BP33" s="1">
        <f t="shared" ref="BP33:BY33" si="65">BP20</f>
        <v>0</v>
      </c>
      <c r="BQ33" s="1">
        <f t="shared" si="65"/>
        <v>0.22414386804201339</v>
      </c>
      <c r="BR33" s="1">
        <f t="shared" si="65"/>
        <v>0.49999999999999978</v>
      </c>
      <c r="BS33" s="1">
        <f t="shared" si="65"/>
        <v>-0.83651630373780794</v>
      </c>
      <c r="BT33" s="1">
        <f t="shared" si="65"/>
        <v>0.22414386804201328</v>
      </c>
      <c r="BU33" s="1">
        <f t="shared" si="65"/>
        <v>-0.50000000000000044</v>
      </c>
      <c r="BV33" s="1">
        <f t="shared" si="65"/>
        <v>-0.83651630373780761</v>
      </c>
      <c r="BW33" s="1">
        <f t="shared" si="65"/>
        <v>0</v>
      </c>
      <c r="BX33" s="1">
        <f t="shared" si="65"/>
        <v>0</v>
      </c>
      <c r="BY33" s="1">
        <f t="shared" si="65"/>
        <v>0</v>
      </c>
      <c r="CA33" s="16">
        <f t="shared" si="63"/>
        <v>0</v>
      </c>
      <c r="CC33" s="19">
        <v>7333.5064066217819</v>
      </c>
      <c r="CD33" t="s">
        <v>309</v>
      </c>
      <c r="CE33" s="1">
        <f>(CC37*mxc+CC38*kxc-CC39*nxc)/SQRT(CC37^2+CC38^2+CC39^2)</f>
        <v>-3.4401063225965626E-4</v>
      </c>
      <c r="CF33" s="1">
        <f>(CC37*myc+CC38*kyc-CC39*nyc)/SQRT(CC37^2+CC38^2+CC39^2)</f>
        <v>-1.3232337478994443E-2</v>
      </c>
      <c r="CG33" s="1">
        <f>(CC37*mzc+CC38*kzc-CC39*nzc)/SQRT(CC37^2+CC38^2+CC39^2)</f>
        <v>-0.99991238961297346</v>
      </c>
      <c r="CH33" s="3" t="str">
        <f>IF(AND(CE33*nxa+CF33*nya+CG33*nza&lt;=0,CE33*nxb+CF33*nyb+CG33*nzb&lt;=0,CE33*nxc+CF33*nyc+CG33*nzc&lt;=0),"ok","wrong")</f>
        <v>ok</v>
      </c>
    </row>
    <row r="34" spans="4:86" x14ac:dyDescent="0.25">
      <c r="D34" s="1">
        <v>1.2944815416133899</v>
      </c>
      <c r="E34" s="14">
        <v>6.0114230031187299</v>
      </c>
      <c r="F34" s="1">
        <v>0.17344412981551499</v>
      </c>
      <c r="G34" s="1">
        <f t="shared" si="8"/>
        <v>0.83082736972414462</v>
      </c>
      <c r="H34" s="1">
        <f t="shared" si="9"/>
        <v>1.2546746245160221</v>
      </c>
      <c r="I34" s="1">
        <f t="shared" si="10"/>
        <v>0.64358962845728829</v>
      </c>
      <c r="J34" s="1">
        <f t="shared" si="48"/>
        <v>0.88529148829933879</v>
      </c>
      <c r="K34" s="1">
        <f t="shared" si="49"/>
        <v>1.2002105059408277</v>
      </c>
      <c r="L34" s="1">
        <f t="shared" si="50"/>
        <v>-0.6590339420609328</v>
      </c>
      <c r="M34" s="1">
        <f t="shared" si="11"/>
        <v>0.62565059827204994</v>
      </c>
      <c r="N34" s="1">
        <f t="shared" si="12"/>
        <v>0.56999022794834509</v>
      </c>
      <c r="O34" s="1">
        <f t="shared" si="13"/>
        <v>-0.30216603555208976</v>
      </c>
      <c r="P34" s="1">
        <f t="shared" si="14"/>
        <v>-0.24065530018094988</v>
      </c>
      <c r="Q34" s="16">
        <f t="shared" si="15"/>
        <v>97.207618058198292</v>
      </c>
      <c r="R34" s="1">
        <f t="shared" si="16"/>
        <v>69.259388440732252</v>
      </c>
      <c r="S34" s="1">
        <f t="shared" si="17"/>
        <v>4.0432690266341158</v>
      </c>
      <c r="T34" s="1">
        <f t="shared" si="51"/>
        <v>0</v>
      </c>
      <c r="U34" s="1">
        <f t="shared" si="18"/>
        <v>97.207618058198292</v>
      </c>
      <c r="V34" s="1">
        <f t="shared" si="19"/>
        <v>56.122844453183106</v>
      </c>
      <c r="W34" s="1">
        <f t="shared" si="20"/>
        <v>4.0432690266341158</v>
      </c>
      <c r="Y34" s="1">
        <v>1.5944381357988799</v>
      </c>
      <c r="Z34" s="1">
        <v>8.6285145427161307</v>
      </c>
      <c r="AA34" s="1">
        <v>0.19945253258072199</v>
      </c>
      <c r="AB34" s="1">
        <f t="shared" si="21"/>
        <v>1.6411353389259755</v>
      </c>
      <c r="AC34" s="1">
        <f t="shared" si="22"/>
        <v>1.0574290830348811</v>
      </c>
      <c r="AD34" s="1">
        <f t="shared" si="23"/>
        <v>-5.7675809357224953E-2</v>
      </c>
      <c r="AE34" s="1">
        <f t="shared" si="52"/>
        <v>1.0550291713258386</v>
      </c>
      <c r="AF34" s="1">
        <f t="shared" si="53"/>
        <v>1.643535250635018</v>
      </c>
      <c r="AG34" s="1">
        <f t="shared" si="54"/>
        <v>4.3816617060714796E-2</v>
      </c>
      <c r="AH34" s="1">
        <f t="shared" si="24"/>
        <v>0.80956932658825698</v>
      </c>
      <c r="AI34" s="1">
        <f t="shared" si="25"/>
        <v>-0.87120852774577562</v>
      </c>
      <c r="AJ34" s="1">
        <f t="shared" si="26"/>
        <v>-0.39099196036152373</v>
      </c>
      <c r="AK34" s="1">
        <f t="shared" si="27"/>
        <v>0.38872490961576334</v>
      </c>
      <c r="AL34" s="1">
        <f t="shared" si="28"/>
        <v>203.08738814922302</v>
      </c>
      <c r="AM34" s="1">
        <f t="shared" si="29"/>
        <v>-25.850104787918692</v>
      </c>
      <c r="AN34" s="1">
        <f t="shared" si="30"/>
        <v>-19.345956941838224</v>
      </c>
      <c r="AO34" s="1">
        <f t="shared" si="55"/>
        <v>0.19945253258072199</v>
      </c>
      <c r="AP34" s="1">
        <f t="shared" si="31"/>
        <v>203.08738814922302</v>
      </c>
      <c r="AQ34" s="1">
        <f t="shared" si="32"/>
        <v>-25.850104787918692</v>
      </c>
      <c r="AR34" s="1">
        <f t="shared" si="33"/>
        <v>-19.345956941838224</v>
      </c>
      <c r="AT34" s="1">
        <v>2.15964466208984</v>
      </c>
      <c r="AU34" s="1">
        <v>4.3061404186779502</v>
      </c>
      <c r="AV34" s="1">
        <v>0.15361448702160899</v>
      </c>
      <c r="AW34" s="1">
        <f t="shared" si="34"/>
        <v>0.16181066825097767</v>
      </c>
      <c r="AX34" s="1">
        <f t="shared" si="35"/>
        <v>2.0988085411898361</v>
      </c>
      <c r="AY34" s="1">
        <f t="shared" si="36"/>
        <v>-0.42957956221236188</v>
      </c>
      <c r="AZ34" s="1">
        <f t="shared" si="56"/>
        <v>1.104482615181936</v>
      </c>
      <c r="BA34" s="1">
        <f t="shared" si="57"/>
        <v>1.1561365942588777</v>
      </c>
      <c r="BB34" s="1">
        <f t="shared" si="58"/>
        <v>1.0591797566156369</v>
      </c>
      <c r="BC34" s="1">
        <f t="shared" si="37"/>
        <v>0.67818576283224408</v>
      </c>
      <c r="BD34" s="1">
        <f t="shared" si="38"/>
        <v>0.27413589319917919</v>
      </c>
      <c r="BE34" s="1">
        <f t="shared" si="39"/>
        <v>0.65507714334121747</v>
      </c>
      <c r="BF34" s="1">
        <f t="shared" si="40"/>
        <v>0.29923016933416291</v>
      </c>
      <c r="BG34" s="1">
        <f t="shared" si="41"/>
        <v>109.09737699773223</v>
      </c>
      <c r="BH34" s="1">
        <f t="shared" si="42"/>
        <v>-18.355042947788423</v>
      </c>
      <c r="BI34" s="1">
        <f t="shared" si="43"/>
        <v>-42.111244608002522</v>
      </c>
      <c r="BJ34" s="1">
        <f t="shared" si="59"/>
        <v>0.15361448702160899</v>
      </c>
      <c r="BK34" s="1">
        <f t="shared" si="44"/>
        <v>109.09737699773223</v>
      </c>
      <c r="BL34" s="1">
        <f t="shared" si="45"/>
        <v>-18.355042947788423</v>
      </c>
      <c r="BM34" s="1">
        <f t="shared" si="46"/>
        <v>-42.111244608002522</v>
      </c>
      <c r="BP34" s="1">
        <f t="shared" ref="BP34:BY34" si="66">BP21</f>
        <v>0</v>
      </c>
      <c r="BQ34" s="1">
        <f t="shared" si="66"/>
        <v>-0.12940952255126031</v>
      </c>
      <c r="BR34" s="1">
        <f t="shared" si="66"/>
        <v>0.86602540378443871</v>
      </c>
      <c r="BS34" s="1">
        <f t="shared" si="66"/>
        <v>0.48296291314453393</v>
      </c>
      <c r="BT34" s="1">
        <f t="shared" si="66"/>
        <v>0.12940952255126048</v>
      </c>
      <c r="BU34" s="1">
        <f t="shared" si="66"/>
        <v>0.86602540378443837</v>
      </c>
      <c r="BV34" s="1">
        <f t="shared" si="66"/>
        <v>-0.4829629131445346</v>
      </c>
      <c r="BW34" s="1">
        <f t="shared" si="66"/>
        <v>0</v>
      </c>
      <c r="BX34" s="1">
        <f t="shared" si="66"/>
        <v>0</v>
      </c>
      <c r="BY34" s="1">
        <f t="shared" si="66"/>
        <v>0</v>
      </c>
      <c r="CA34" s="16">
        <f t="shared" si="63"/>
        <v>0</v>
      </c>
      <c r="CC34" s="19">
        <v>28081.958586669025</v>
      </c>
    </row>
    <row r="35" spans="4:86" x14ac:dyDescent="0.25">
      <c r="D35" s="1">
        <v>1.5375830865737901</v>
      </c>
      <c r="E35" s="14">
        <v>5.9731850731016296</v>
      </c>
      <c r="F35" s="1">
        <v>0.184334888938431</v>
      </c>
      <c r="G35" s="1">
        <f t="shared" si="8"/>
        <v>0.78838420119867569</v>
      </c>
      <c r="H35" s="1">
        <f t="shared" si="9"/>
        <v>1.0302366299442927</v>
      </c>
      <c r="I35" s="1">
        <f t="shared" si="10"/>
        <v>8.1142354046597018E-2</v>
      </c>
      <c r="J35" s="1">
        <f t="shared" si="48"/>
        <v>1.0245838979504793</v>
      </c>
      <c r="K35" s="1">
        <f t="shared" si="49"/>
        <v>0.79403693319248925</v>
      </c>
      <c r="L35" s="1">
        <f t="shared" si="50"/>
        <v>-8.8990197229701959E-2</v>
      </c>
      <c r="M35" s="1">
        <f t="shared" si="11"/>
        <v>0.54558624934289057</v>
      </c>
      <c r="N35" s="1">
        <f t="shared" si="12"/>
        <v>0.83404877731233396</v>
      </c>
      <c r="O35" s="1">
        <f t="shared" si="13"/>
        <v>-0.26349792435424252</v>
      </c>
      <c r="P35" s="1">
        <f t="shared" si="14"/>
        <v>0.13107012996952533</v>
      </c>
      <c r="Q35" s="16">
        <f t="shared" si="15"/>
        <v>158.32128606475368</v>
      </c>
      <c r="R35" s="1">
        <f t="shared" si="16"/>
        <v>17.40896223078316</v>
      </c>
      <c r="S35" s="1">
        <f t="shared" si="17"/>
        <v>34.807679160388609</v>
      </c>
      <c r="T35" s="1">
        <f t="shared" si="51"/>
        <v>0.184334888938431</v>
      </c>
      <c r="U35" s="1">
        <f t="shared" si="18"/>
        <v>158.32128606475368</v>
      </c>
      <c r="V35" s="1">
        <f t="shared" si="19"/>
        <v>17.40896223078316</v>
      </c>
      <c r="W35" s="1">
        <f t="shared" si="20"/>
        <v>34.807679160388609</v>
      </c>
      <c r="Y35" s="1">
        <v>1.8146669235117501</v>
      </c>
      <c r="Z35" s="1">
        <v>4.2485127711716997</v>
      </c>
      <c r="AA35" s="1">
        <v>0.126083020954988</v>
      </c>
      <c r="AB35" s="1">
        <f t="shared" si="21"/>
        <v>4.1997427037789026E-2</v>
      </c>
      <c r="AC35" s="1">
        <f t="shared" si="22"/>
        <v>0.50799921200927889</v>
      </c>
      <c r="AD35" s="1">
        <f t="shared" si="23"/>
        <v>-0.18403990512476898</v>
      </c>
      <c r="AE35" s="1">
        <f t="shared" si="52"/>
        <v>0.39458290254922113</v>
      </c>
      <c r="AF35" s="1">
        <f t="shared" si="53"/>
        <v>0.15541373649784684</v>
      </c>
      <c r="AG35" s="1">
        <f t="shared" si="54"/>
        <v>0.27177128266257305</v>
      </c>
      <c r="AH35" s="1">
        <f t="shared" si="24"/>
        <v>0.16499899171412039</v>
      </c>
      <c r="AI35" s="1">
        <f t="shared" si="25"/>
        <v>-0.25973544729359554</v>
      </c>
      <c r="AJ35" s="1">
        <f t="shared" si="26"/>
        <v>-7.9688393704162502E-2</v>
      </c>
      <c r="AK35" s="1">
        <f t="shared" si="27"/>
        <v>-0.18711707395879101</v>
      </c>
      <c r="AL35" s="1">
        <f t="shared" si="28"/>
        <v>26.140794333646021</v>
      </c>
      <c r="AM35" s="1">
        <f t="shared" si="29"/>
        <v>31.428936423895582</v>
      </c>
      <c r="AN35" s="1">
        <f t="shared" si="30"/>
        <v>-7.6728516252426155</v>
      </c>
      <c r="AO35" s="1">
        <f t="shared" si="55"/>
        <v>0</v>
      </c>
      <c r="AP35" s="1">
        <f t="shared" si="31"/>
        <v>26.140794333646021</v>
      </c>
      <c r="AQ35" s="1">
        <f t="shared" si="32"/>
        <v>15.092394645361173</v>
      </c>
      <c r="AR35" s="1">
        <f t="shared" si="33"/>
        <v>-7.6728516252426155</v>
      </c>
      <c r="AT35" s="1">
        <v>1.22737370436246</v>
      </c>
      <c r="AU35" s="1">
        <v>4.2012665434655201</v>
      </c>
      <c r="AV35" s="1">
        <v>0.23504583786673899</v>
      </c>
      <c r="AW35" s="1">
        <f t="shared" si="34"/>
        <v>4.6624209137858308E-2</v>
      </c>
      <c r="AX35" s="1">
        <f t="shared" si="35"/>
        <v>0.8138301542864248</v>
      </c>
      <c r="AY35" s="1">
        <f t="shared" si="36"/>
        <v>0.20843024384079134</v>
      </c>
      <c r="AZ35" s="1">
        <f t="shared" si="56"/>
        <v>0.59468248183553429</v>
      </c>
      <c r="BA35" s="1">
        <f t="shared" si="57"/>
        <v>0.26577188158874876</v>
      </c>
      <c r="BB35" s="1">
        <f t="shared" si="58"/>
        <v>-0.40441174732774865</v>
      </c>
      <c r="BC35" s="1">
        <f t="shared" si="37"/>
        <v>0.2581363090272849</v>
      </c>
      <c r="BD35" s="1">
        <f t="shared" si="38"/>
        <v>-0.10466946227160993</v>
      </c>
      <c r="BE35" s="1">
        <f t="shared" si="39"/>
        <v>0.24934052759239045</v>
      </c>
      <c r="BF35" s="1">
        <f t="shared" si="40"/>
        <v>6.8786824607900268E-2</v>
      </c>
      <c r="BG35" s="1">
        <f t="shared" si="41"/>
        <v>60.794087782808589</v>
      </c>
      <c r="BH35" s="1">
        <f t="shared" si="42"/>
        <v>-0.44867738757541137</v>
      </c>
      <c r="BI35" s="1">
        <f t="shared" si="43"/>
        <v>24.602121458691567</v>
      </c>
      <c r="BJ35" s="1">
        <f t="shared" si="59"/>
        <v>0.23504583786673899</v>
      </c>
      <c r="BK35" s="1">
        <f t="shared" si="44"/>
        <v>60.794087782808589</v>
      </c>
      <c r="BL35" s="1">
        <f t="shared" si="45"/>
        <v>-0.44867738757541137</v>
      </c>
      <c r="BM35" s="1">
        <f t="shared" si="46"/>
        <v>24.602121458691567</v>
      </c>
      <c r="BP35" s="1">
        <f t="shared" ref="BP35:BY35" si="67">BP22</f>
        <v>0</v>
      </c>
      <c r="BQ35" s="1">
        <f t="shared" si="67"/>
        <v>-0.96592582628906831</v>
      </c>
      <c r="BR35" s="1">
        <f t="shared" si="67"/>
        <v>0</v>
      </c>
      <c r="BS35" s="1">
        <f t="shared" si="67"/>
        <v>-0.25881904510252074</v>
      </c>
      <c r="BT35" s="1">
        <f t="shared" si="67"/>
        <v>0.96592582628906831</v>
      </c>
      <c r="BU35" s="1">
        <f t="shared" si="67"/>
        <v>0</v>
      </c>
      <c r="BV35" s="1">
        <f t="shared" si="67"/>
        <v>0.25881904510252074</v>
      </c>
      <c r="BW35" s="1">
        <f t="shared" si="67"/>
        <v>0</v>
      </c>
      <c r="BX35" s="1">
        <f t="shared" si="67"/>
        <v>0</v>
      </c>
      <c r="BY35" s="1">
        <f t="shared" si="67"/>
        <v>0</v>
      </c>
      <c r="CA35" s="16">
        <f t="shared" si="63"/>
        <v>0</v>
      </c>
      <c r="CC35" s="19">
        <v>327.57961603079627</v>
      </c>
    </row>
    <row r="36" spans="4:86" x14ac:dyDescent="0.25">
      <c r="D36" s="1">
        <v>0.61666852900298597</v>
      </c>
      <c r="E36" s="14">
        <v>4.0062550209528904</v>
      </c>
      <c r="F36" s="1">
        <v>4.4630765415258997E-2</v>
      </c>
      <c r="G36" s="1">
        <f t="shared" si="8"/>
        <v>7.4192893504751098E-3</v>
      </c>
      <c r="H36" s="1">
        <f t="shared" si="9"/>
        <v>4.750198688977064</v>
      </c>
      <c r="I36" s="1">
        <f t="shared" si="10"/>
        <v>1.1103061370306144E-2</v>
      </c>
      <c r="J36" s="1">
        <f t="shared" si="48"/>
        <v>1.5831870005306785</v>
      </c>
      <c r="K36" s="1">
        <f t="shared" si="49"/>
        <v>3.1744309777968609</v>
      </c>
      <c r="L36" s="1">
        <f t="shared" si="50"/>
        <v>-2.2339646455474416</v>
      </c>
      <c r="M36" s="1">
        <f t="shared" si="11"/>
        <v>1.4272853934982619</v>
      </c>
      <c r="N36" s="1">
        <f t="shared" si="12"/>
        <v>0.7461691414562901</v>
      </c>
      <c r="O36" s="1">
        <f t="shared" si="13"/>
        <v>-0.68932591153256295</v>
      </c>
      <c r="P36" s="1">
        <f t="shared" si="14"/>
        <v>-1.0471446535570434</v>
      </c>
      <c r="Q36" s="16">
        <f t="shared" si="15"/>
        <v>30.62029888674612</v>
      </c>
      <c r="R36" s="1">
        <f t="shared" si="16"/>
        <v>56.58817936089703</v>
      </c>
      <c r="S36" s="1">
        <f t="shared" si="17"/>
        <v>-9.9923454781071843</v>
      </c>
      <c r="T36" s="1">
        <f t="shared" si="51"/>
        <v>0</v>
      </c>
      <c r="U36" s="1">
        <f t="shared" si="18"/>
        <v>30.62029888674612</v>
      </c>
      <c r="V36" s="1">
        <f t="shared" si="19"/>
        <v>17.678637804929668</v>
      </c>
      <c r="W36" s="1">
        <f t="shared" si="20"/>
        <v>-9.9923454781071843</v>
      </c>
      <c r="Y36" s="1">
        <v>1.7105664363217901</v>
      </c>
      <c r="Z36" s="1">
        <v>7.2254686066926999</v>
      </c>
      <c r="AA36" s="1">
        <v>0.16697269595376199</v>
      </c>
      <c r="AB36" s="1">
        <f t="shared" si="21"/>
        <v>1.267912504518375</v>
      </c>
      <c r="AC36" s="1">
        <f t="shared" si="22"/>
        <v>1.128599458534542</v>
      </c>
      <c r="AD36" s="1">
        <f t="shared" si="23"/>
        <v>-0.34708684032805082</v>
      </c>
      <c r="AE36" s="1">
        <f t="shared" si="52"/>
        <v>1.0355373278528939</v>
      </c>
      <c r="AF36" s="1">
        <f t="shared" si="53"/>
        <v>1.3609746352000232</v>
      </c>
      <c r="AG36" s="1">
        <f t="shared" si="54"/>
        <v>0.31439457004041249</v>
      </c>
      <c r="AH36" s="1">
        <f t="shared" si="24"/>
        <v>0.71895358891587502</v>
      </c>
      <c r="AI36" s="1">
        <f t="shared" si="25"/>
        <v>-0.78487255547475188</v>
      </c>
      <c r="AJ36" s="1">
        <f t="shared" si="26"/>
        <v>-0.34722791971852918</v>
      </c>
      <c r="AK36" s="1">
        <f t="shared" si="27"/>
        <v>8.9249971845778375E-2</v>
      </c>
      <c r="AL36" s="1">
        <f t="shared" si="28"/>
        <v>141.48539742427056</v>
      </c>
      <c r="AM36" s="1">
        <f t="shared" si="29"/>
        <v>22.482893047643071</v>
      </c>
      <c r="AN36" s="1">
        <f t="shared" si="30"/>
        <v>-15.316084538077572</v>
      </c>
      <c r="AO36" s="1">
        <f t="shared" si="55"/>
        <v>0.16697269595376199</v>
      </c>
      <c r="AP36" s="1">
        <f t="shared" si="31"/>
        <v>141.48539742427056</v>
      </c>
      <c r="AQ36" s="1">
        <f t="shared" si="32"/>
        <v>22.482893047643071</v>
      </c>
      <c r="AR36" s="1">
        <f t="shared" si="33"/>
        <v>-15.316084538077572</v>
      </c>
      <c r="AT36" s="1">
        <v>1.39127253786242</v>
      </c>
      <c r="AU36" s="1">
        <v>4.1318495725327304</v>
      </c>
      <c r="AV36" s="1">
        <v>0.151133918198981</v>
      </c>
      <c r="AW36" s="1">
        <f t="shared" si="34"/>
        <v>9.5594661388542501E-3</v>
      </c>
      <c r="AX36" s="1">
        <f t="shared" si="35"/>
        <v>0.1837403150427992</v>
      </c>
      <c r="AY36" s="1">
        <f t="shared" si="36"/>
        <v>7.9487274742197661E-2</v>
      </c>
      <c r="AZ36" s="1">
        <f t="shared" si="56"/>
        <v>0.15025627167815667</v>
      </c>
      <c r="BA36" s="1">
        <f t="shared" si="57"/>
        <v>4.3043509503496807E-2</v>
      </c>
      <c r="BB36" s="1">
        <f t="shared" si="58"/>
        <v>-0.10502059218975246</v>
      </c>
      <c r="BC36" s="1">
        <f t="shared" si="37"/>
        <v>5.7989934354496037E-2</v>
      </c>
      <c r="BD36" s="1">
        <f t="shared" si="38"/>
        <v>-2.7181329386653012E-2</v>
      </c>
      <c r="BE36" s="1">
        <f t="shared" si="39"/>
        <v>5.6013975257815415E-2</v>
      </c>
      <c r="BF36" s="1">
        <f t="shared" si="40"/>
        <v>1.1140480027556344E-2</v>
      </c>
      <c r="BG36" s="1">
        <f t="shared" si="41"/>
        <v>8.6129276002468007</v>
      </c>
      <c r="BH36" s="1">
        <f t="shared" si="42"/>
        <v>0.56472793769953045</v>
      </c>
      <c r="BI36" s="1">
        <f t="shared" si="43"/>
        <v>4.108020812061973</v>
      </c>
      <c r="BJ36" s="1">
        <f t="shared" si="59"/>
        <v>0.151133918198981</v>
      </c>
      <c r="BK36" s="1">
        <f t="shared" si="44"/>
        <v>8.6129276002468007</v>
      </c>
      <c r="BL36" s="1">
        <f t="shared" si="45"/>
        <v>0.56472793769953045</v>
      </c>
      <c r="BM36" s="1">
        <f t="shared" si="46"/>
        <v>4.108020812061973</v>
      </c>
      <c r="BP36" s="1">
        <f t="shared" ref="BP36:BY36" si="68">BP23</f>
        <v>0</v>
      </c>
      <c r="BQ36" s="1">
        <f t="shared" si="68"/>
        <v>0.22414386804201339</v>
      </c>
      <c r="BR36" s="1">
        <f t="shared" si="68"/>
        <v>0.49999999999999978</v>
      </c>
      <c r="BS36" s="1">
        <f t="shared" si="68"/>
        <v>-0.83651630373780794</v>
      </c>
      <c r="BT36" s="1">
        <f t="shared" si="68"/>
        <v>0</v>
      </c>
      <c r="BU36" s="1">
        <f t="shared" si="68"/>
        <v>0</v>
      </c>
      <c r="BV36" s="1">
        <f t="shared" si="68"/>
        <v>0</v>
      </c>
      <c r="BW36" s="1">
        <f t="shared" si="68"/>
        <v>6.3418350641655545E-17</v>
      </c>
      <c r="BX36" s="1">
        <f t="shared" si="68"/>
        <v>1</v>
      </c>
      <c r="BY36" s="1">
        <f t="shared" si="68"/>
        <v>-2.3668050672687681E-16</v>
      </c>
      <c r="CA36" s="16">
        <f t="shared" si="63"/>
        <v>0</v>
      </c>
      <c r="CC36" s="19">
        <v>7316.8034240912239</v>
      </c>
    </row>
    <row r="37" spans="4:86" x14ac:dyDescent="0.25">
      <c r="D37" s="1">
        <v>1.4810735258297201</v>
      </c>
      <c r="E37" s="14">
        <v>7.8415189473207398</v>
      </c>
      <c r="F37" s="1">
        <v>0.167027235142331</v>
      </c>
      <c r="G37" s="1">
        <f t="shared" si="8"/>
        <v>1.4492413798295323</v>
      </c>
      <c r="H37" s="1">
        <f t="shared" si="9"/>
        <v>1.0929683753532329</v>
      </c>
      <c r="I37" s="1">
        <f t="shared" si="10"/>
        <v>0.22218417131366849</v>
      </c>
      <c r="J37" s="1">
        <f t="shared" si="48"/>
        <v>1.0561724067062748</v>
      </c>
      <c r="K37" s="1">
        <f t="shared" si="49"/>
        <v>1.4860373484764906</v>
      </c>
      <c r="L37" s="1">
        <f t="shared" si="50"/>
        <v>-0.18682198042844453</v>
      </c>
      <c r="M37" s="1">
        <f t="shared" si="11"/>
        <v>0.76266292655482959</v>
      </c>
      <c r="N37" s="1">
        <f t="shared" si="12"/>
        <v>0.83515235118914599</v>
      </c>
      <c r="O37" s="1">
        <f t="shared" si="13"/>
        <v>-0.36833790875625622</v>
      </c>
      <c r="P37" s="1">
        <f t="shared" si="14"/>
        <v>0.22833513499438762</v>
      </c>
      <c r="Q37" s="16">
        <f t="shared" si="15"/>
        <v>156.27228280858645</v>
      </c>
      <c r="R37" s="1">
        <f t="shared" si="16"/>
        <v>2.3894761540988387</v>
      </c>
      <c r="S37" s="1">
        <f t="shared" si="17"/>
        <v>16.466578644516115</v>
      </c>
      <c r="T37" s="1">
        <f t="shared" si="51"/>
        <v>0.167027235142331</v>
      </c>
      <c r="U37" s="1">
        <f t="shared" si="18"/>
        <v>156.27228280858645</v>
      </c>
      <c r="V37" s="1">
        <f t="shared" si="19"/>
        <v>2.3894761540988387</v>
      </c>
      <c r="W37" s="1">
        <f t="shared" si="20"/>
        <v>16.466578644516115</v>
      </c>
      <c r="Y37" s="1">
        <v>1.5912469922962</v>
      </c>
      <c r="Z37" s="1">
        <v>4.2245032049642299</v>
      </c>
      <c r="AA37" s="1">
        <v>0.184519905958968</v>
      </c>
      <c r="AB37" s="1">
        <f t="shared" si="21"/>
        <v>1.6517730140291453E-2</v>
      </c>
      <c r="AC37" s="1">
        <f t="shared" si="22"/>
        <v>0.10740297946865773</v>
      </c>
      <c r="AD37" s="1">
        <f t="shared" si="23"/>
        <v>-1.4750611090388487E-2</v>
      </c>
      <c r="AE37" s="1">
        <f t="shared" si="52"/>
        <v>0.1067618224318282</v>
      </c>
      <c r="AF37" s="1">
        <f t="shared" si="53"/>
        <v>1.7158887177120989E-2</v>
      </c>
      <c r="AG37" s="1">
        <f t="shared" si="54"/>
        <v>1.6596420166557144E-2</v>
      </c>
      <c r="AH37" s="1">
        <f t="shared" si="24"/>
        <v>3.7176212882684752E-2</v>
      </c>
      <c r="AI37" s="1">
        <f t="shared" si="25"/>
        <v>-8.501253546135655E-2</v>
      </c>
      <c r="AJ37" s="1">
        <f t="shared" si="26"/>
        <v>-1.7954732073502806E-2</v>
      </c>
      <c r="AK37" s="1">
        <f t="shared" si="27"/>
        <v>-9.4421292588036491E-3</v>
      </c>
      <c r="AL37" s="1">
        <f t="shared" si="28"/>
        <v>14.271145719401435</v>
      </c>
      <c r="AM37" s="1">
        <f t="shared" si="29"/>
        <v>5.6276630798714109</v>
      </c>
      <c r="AN37" s="1">
        <f t="shared" si="30"/>
        <v>-4.9741056212120167</v>
      </c>
      <c r="AO37" s="1">
        <f t="shared" si="55"/>
        <v>0.184519905958968</v>
      </c>
      <c r="AP37" s="1">
        <f t="shared" si="31"/>
        <v>14.271145719401435</v>
      </c>
      <c r="AQ37" s="1">
        <f t="shared" si="32"/>
        <v>5.6276630798714109</v>
      </c>
      <c r="AR37" s="1">
        <f t="shared" si="33"/>
        <v>-4.9741056212120167</v>
      </c>
      <c r="AT37" s="1">
        <v>1.5707963267948899</v>
      </c>
      <c r="AU37" s="1">
        <v>9.0674494857070496</v>
      </c>
      <c r="AV37" s="1">
        <v>0.203931758150626</v>
      </c>
      <c r="AW37" s="1">
        <f t="shared" si="34"/>
        <v>1.7302344522105346</v>
      </c>
      <c r="AX37" s="1">
        <f t="shared" si="35"/>
        <v>1.0441659335092301</v>
      </c>
      <c r="AY37" s="1">
        <f t="shared" si="36"/>
        <v>1.6207335556451531E-14</v>
      </c>
      <c r="AZ37" s="1">
        <f t="shared" si="56"/>
        <v>1.0441659335092301</v>
      </c>
      <c r="BA37" s="1">
        <f t="shared" si="57"/>
        <v>1.7302344522105346</v>
      </c>
      <c r="BB37" s="1">
        <f t="shared" si="58"/>
        <v>-1.1595174371573136E-14</v>
      </c>
      <c r="BC37" s="1">
        <f t="shared" si="37"/>
        <v>0.83232011571592934</v>
      </c>
      <c r="BD37" s="1">
        <f t="shared" si="38"/>
        <v>-3.2481856808976867E-15</v>
      </c>
      <c r="BE37" s="1">
        <f t="shared" si="39"/>
        <v>0.80395949550992196</v>
      </c>
      <c r="BF37" s="1">
        <f t="shared" si="40"/>
        <v>0.44781762872461361</v>
      </c>
      <c r="BG37" s="1">
        <f t="shared" si="41"/>
        <v>182.00276636109513</v>
      </c>
      <c r="BH37" s="1">
        <f t="shared" si="42"/>
        <v>-45.778312327499414</v>
      </c>
      <c r="BI37" s="1">
        <f t="shared" si="43"/>
        <v>6.2223489480008465E-13</v>
      </c>
      <c r="BJ37" s="1">
        <f t="shared" si="59"/>
        <v>0.203931758150626</v>
      </c>
      <c r="BK37" s="1">
        <f t="shared" si="44"/>
        <v>182.00276636109513</v>
      </c>
      <c r="BL37" s="1">
        <f t="shared" si="45"/>
        <v>-45.778312327499414</v>
      </c>
      <c r="BM37" s="1">
        <f t="shared" si="46"/>
        <v>6.2223489480008465E-13</v>
      </c>
      <c r="BP37" s="1">
        <f t="shared" ref="BP37:BY37" si="69">BP24</f>
        <v>0</v>
      </c>
      <c r="BQ37" s="1">
        <f t="shared" si="69"/>
        <v>-0.12940952255126031</v>
      </c>
      <c r="BR37" s="1">
        <f t="shared" si="69"/>
        <v>0.86602540378443871</v>
      </c>
      <c r="BS37" s="1">
        <f t="shared" si="69"/>
        <v>0.48296291314453393</v>
      </c>
      <c r="BT37" s="1">
        <f t="shared" si="69"/>
        <v>0</v>
      </c>
      <c r="BU37" s="1">
        <f t="shared" si="69"/>
        <v>0</v>
      </c>
      <c r="BV37" s="1">
        <f t="shared" si="69"/>
        <v>0</v>
      </c>
      <c r="BW37" s="1">
        <f t="shared" si="69"/>
        <v>-0.25881904510252074</v>
      </c>
      <c r="BX37" s="1">
        <f t="shared" si="69"/>
        <v>2.4502969098172395E-16</v>
      </c>
      <c r="BY37" s="1">
        <f t="shared" si="69"/>
        <v>0.96592582628906831</v>
      </c>
      <c r="CA37" s="16">
        <f t="shared" si="63"/>
        <v>0</v>
      </c>
      <c r="CC37" s="19">
        <v>27930.63311153105</v>
      </c>
    </row>
    <row r="38" spans="4:86" x14ac:dyDescent="0.25">
      <c r="D38" s="1">
        <v>1.5237141588596099</v>
      </c>
      <c r="E38" s="14">
        <v>4.3553755197606696</v>
      </c>
      <c r="F38" s="1">
        <v>0.17717550429387199</v>
      </c>
      <c r="G38" s="1">
        <f t="shared" si="8"/>
        <v>4.9334783563743295E-2</v>
      </c>
      <c r="H38" s="1">
        <f t="shared" si="9"/>
        <v>0.28647980630182612</v>
      </c>
      <c r="I38" s="1">
        <f t="shared" si="10"/>
        <v>4.91024371520161E-2</v>
      </c>
      <c r="J38" s="1">
        <f t="shared" si="48"/>
        <v>0.2813376395913243</v>
      </c>
      <c r="K38" s="1">
        <f t="shared" si="49"/>
        <v>5.447695027424513E-2</v>
      </c>
      <c r="L38" s="1">
        <f t="shared" si="50"/>
        <v>-6.0033713005894176E-2</v>
      </c>
      <c r="M38" s="1">
        <f t="shared" si="11"/>
        <v>0.10074437695967083</v>
      </c>
      <c r="N38" s="1">
        <f t="shared" si="12"/>
        <v>0.21980565409910988</v>
      </c>
      <c r="O38" s="1">
        <f t="shared" si="13"/>
        <v>-4.8655797779373684E-2</v>
      </c>
      <c r="P38" s="1">
        <f t="shared" si="14"/>
        <v>-3.6119507453269334E-2</v>
      </c>
      <c r="Q38" s="16">
        <f t="shared" si="15"/>
        <v>35.084566691744989</v>
      </c>
      <c r="R38" s="1">
        <f t="shared" si="16"/>
        <v>16.026122892214463</v>
      </c>
      <c r="S38" s="1">
        <f t="shared" si="17"/>
        <v>12.006416779310866</v>
      </c>
      <c r="T38" s="1">
        <f t="shared" si="51"/>
        <v>0.17717550429387199</v>
      </c>
      <c r="U38" s="1">
        <f t="shared" si="18"/>
        <v>35.084566691744989</v>
      </c>
      <c r="V38" s="1">
        <f t="shared" si="19"/>
        <v>16.026122892214463</v>
      </c>
      <c r="W38" s="1">
        <f t="shared" si="20"/>
        <v>12.006416779310866</v>
      </c>
      <c r="Y38" s="1">
        <v>1.60343027612102</v>
      </c>
      <c r="Z38" s="1">
        <v>7.2887686975923902</v>
      </c>
      <c r="AA38" s="1">
        <v>0.24328720545761301</v>
      </c>
      <c r="AB38" s="1">
        <f t="shared" si="21"/>
        <v>1.2900325933981627</v>
      </c>
      <c r="AC38" s="1">
        <f t="shared" si="22"/>
        <v>1.0839688939765404</v>
      </c>
      <c r="AD38" s="1">
        <f t="shared" si="23"/>
        <v>-8.1987898330348807E-2</v>
      </c>
      <c r="AE38" s="1">
        <f t="shared" si="52"/>
        <v>1.0788408892974144</v>
      </c>
      <c r="AF38" s="1">
        <f t="shared" si="53"/>
        <v>1.2951605980772889</v>
      </c>
      <c r="AG38" s="1">
        <f t="shared" si="54"/>
        <v>7.5093431309311898E-2</v>
      </c>
      <c r="AH38" s="1">
        <f t="shared" si="24"/>
        <v>0.71220044621241085</v>
      </c>
      <c r="AI38" s="1">
        <f t="shared" si="25"/>
        <v>-0.88303238285133445</v>
      </c>
      <c r="AJ38" s="1">
        <f t="shared" si="26"/>
        <v>-0.34396640224558339</v>
      </c>
      <c r="AK38" s="1">
        <f t="shared" si="27"/>
        <v>0.27239534965491907</v>
      </c>
      <c r="AL38" s="1">
        <f t="shared" si="28"/>
        <v>237.27682057345237</v>
      </c>
      <c r="AM38" s="1">
        <f t="shared" si="29"/>
        <v>-5.0299341203840493</v>
      </c>
      <c r="AN38" s="1">
        <f t="shared" si="30"/>
        <v>-34.943961466908384</v>
      </c>
      <c r="AO38" s="1">
        <f t="shared" si="55"/>
        <v>0.24328720545761301</v>
      </c>
      <c r="AP38" s="1">
        <f t="shared" si="31"/>
        <v>237.27682057345237</v>
      </c>
      <c r="AQ38" s="1">
        <f t="shared" si="32"/>
        <v>-5.0299341203840493</v>
      </c>
      <c r="AR38" s="1">
        <f t="shared" si="33"/>
        <v>-34.943961466908384</v>
      </c>
      <c r="AT38" s="1">
        <v>1.63657544645916</v>
      </c>
      <c r="AU38" s="1">
        <v>7.7919321481810204</v>
      </c>
      <c r="AV38" s="1">
        <v>0.29257105281502599</v>
      </c>
      <c r="AW38" s="1">
        <f t="shared" si="34"/>
        <v>1.4369882865165167</v>
      </c>
      <c r="AX38" s="1">
        <f t="shared" si="35"/>
        <v>1.0854772159663681</v>
      </c>
      <c r="AY38" s="1">
        <f t="shared" si="36"/>
        <v>-0.16347357316580774</v>
      </c>
      <c r="AZ38" s="1">
        <f t="shared" si="56"/>
        <v>1.0655516620402727</v>
      </c>
      <c r="BA38" s="1">
        <f t="shared" si="57"/>
        <v>1.4569138404426119</v>
      </c>
      <c r="BB38" s="1">
        <f t="shared" si="58"/>
        <v>0.13900549856918784</v>
      </c>
      <c r="BC38" s="1">
        <f t="shared" si="37"/>
        <v>0.75673965074486538</v>
      </c>
      <c r="BD38" s="1">
        <f t="shared" si="38"/>
        <v>3.5977270403676757E-2</v>
      </c>
      <c r="BE38" s="1">
        <f t="shared" si="39"/>
        <v>0.73095437243143502</v>
      </c>
      <c r="BF38" s="1">
        <f t="shared" si="40"/>
        <v>0.37707704898000299</v>
      </c>
      <c r="BG38" s="1">
        <f t="shared" si="41"/>
        <v>235.12251122265306</v>
      </c>
      <c r="BH38" s="1">
        <f t="shared" si="42"/>
        <v>-51.212674958444332</v>
      </c>
      <c r="BI38" s="1">
        <f t="shared" si="43"/>
        <v>-10.525907879414637</v>
      </c>
      <c r="BJ38" s="1">
        <f t="shared" si="59"/>
        <v>0.29257105281502599</v>
      </c>
      <c r="BK38" s="1">
        <f t="shared" si="44"/>
        <v>235.12251122265306</v>
      </c>
      <c r="BL38" s="1">
        <f t="shared" si="45"/>
        <v>-51.212674958444332</v>
      </c>
      <c r="BM38" s="1">
        <f t="shared" si="46"/>
        <v>-10.525907879414637</v>
      </c>
      <c r="BP38" s="1">
        <f t="shared" ref="BP38:BY38" si="70">BP25</f>
        <v>0</v>
      </c>
      <c r="BQ38" s="1">
        <f t="shared" si="70"/>
        <v>-0.96592582628906831</v>
      </c>
      <c r="BR38" s="1">
        <f t="shared" si="70"/>
        <v>0</v>
      </c>
      <c r="BS38" s="1">
        <f t="shared" si="70"/>
        <v>-0.25881904510252074</v>
      </c>
      <c r="BT38" s="1">
        <f t="shared" si="70"/>
        <v>0</v>
      </c>
      <c r="BU38" s="1">
        <f t="shared" si="70"/>
        <v>0</v>
      </c>
      <c r="BV38" s="1">
        <f t="shared" si="70"/>
        <v>0</v>
      </c>
      <c r="BW38" s="1">
        <f t="shared" si="70"/>
        <v>0.96592582628906831</v>
      </c>
      <c r="BX38" s="1">
        <f t="shared" si="70"/>
        <v>0</v>
      </c>
      <c r="BY38" s="1">
        <f t="shared" si="70"/>
        <v>0.25881904510252074</v>
      </c>
      <c r="CA38" s="16">
        <f t="shared" si="63"/>
        <v>0</v>
      </c>
      <c r="CC38" s="19">
        <v>9.9836562993030462</v>
      </c>
      <c r="CE38" t="s">
        <v>85</v>
      </c>
      <c r="CF38" s="19">
        <f>MAX(MIN(CI31,CI18,CI5),0)</f>
        <v>2399.0338920537101</v>
      </c>
      <c r="CG38" t="s">
        <v>238</v>
      </c>
    </row>
    <row r="39" spans="4:86" x14ac:dyDescent="0.25">
      <c r="D39" s="1">
        <v>1.4791427873965599</v>
      </c>
      <c r="E39" s="14">
        <v>4.1273903743703304</v>
      </c>
      <c r="F39" s="1">
        <v>0.10837877743546501</v>
      </c>
      <c r="G39" s="1">
        <f t="shared" si="8"/>
        <v>4.0160983489225949E-3</v>
      </c>
      <c r="H39" s="1">
        <f t="shared" si="9"/>
        <v>1.5199820976417922E-2</v>
      </c>
      <c r="I39" s="1">
        <f t="shared" si="10"/>
        <v>3.9967887580358859E-2</v>
      </c>
      <c r="J39" s="1">
        <f t="shared" si="48"/>
        <v>7.8207003632796614E-3</v>
      </c>
      <c r="K39" s="1">
        <f t="shared" si="49"/>
        <v>1.1395218962060857E-2</v>
      </c>
      <c r="L39" s="1">
        <f t="shared" si="50"/>
        <v>-4.0317572530909319E-2</v>
      </c>
      <c r="M39" s="1">
        <f t="shared" si="11"/>
        <v>5.7647757976021551E-3</v>
      </c>
      <c r="N39" s="1">
        <f t="shared" si="12"/>
        <v>-3.8928122627699367E-3</v>
      </c>
      <c r="O39" s="1">
        <f t="shared" si="13"/>
        <v>-2.7841729128350408E-3</v>
      </c>
      <c r="P39" s="1">
        <f t="shared" si="14"/>
        <v>-3.0777007058742509E-2</v>
      </c>
      <c r="Q39" s="16">
        <f t="shared" si="15"/>
        <v>-1.0705031636215816</v>
      </c>
      <c r="R39" s="1">
        <f t="shared" si="16"/>
        <v>3.1664002642021902</v>
      </c>
      <c r="S39" s="1">
        <f t="shared" si="17"/>
        <v>-0.4722681744799378</v>
      </c>
      <c r="T39" s="1">
        <f t="shared" si="51"/>
        <v>0</v>
      </c>
      <c r="U39" s="1">
        <f t="shared" si="18"/>
        <v>0</v>
      </c>
      <c r="V39" s="1">
        <f t="shared" si="19"/>
        <v>0</v>
      </c>
      <c r="W39" s="1">
        <f t="shared" si="20"/>
        <v>0</v>
      </c>
      <c r="Y39" s="1">
        <v>1.58335072157636</v>
      </c>
      <c r="Z39" s="1">
        <v>6.3157918196295704</v>
      </c>
      <c r="AA39" s="1">
        <v>0.16935677985969899</v>
      </c>
      <c r="AB39" s="1">
        <f t="shared" si="21"/>
        <v>0.93601074463630851</v>
      </c>
      <c r="AC39" s="1">
        <f t="shared" si="22"/>
        <v>1.0582683013978285</v>
      </c>
      <c r="AD39" s="1">
        <f t="shared" si="23"/>
        <v>-3.1306783594582124E-2</v>
      </c>
      <c r="AE39" s="1">
        <f t="shared" si="52"/>
        <v>1.0574630402041443</v>
      </c>
      <c r="AF39" s="1">
        <f t="shared" si="53"/>
        <v>0.93681600582999269</v>
      </c>
      <c r="AG39" s="1">
        <f t="shared" si="54"/>
        <v>3.2831623772555232E-2</v>
      </c>
      <c r="AH39" s="1">
        <f t="shared" si="24"/>
        <v>0.59828371381024115</v>
      </c>
      <c r="AI39" s="1">
        <f t="shared" si="25"/>
        <v>-0.87608762421693742</v>
      </c>
      <c r="AJ39" s="1">
        <f t="shared" si="26"/>
        <v>-0.28894884530872511</v>
      </c>
      <c r="AK39" s="1">
        <f t="shared" si="27"/>
        <v>0.21500163550174797</v>
      </c>
      <c r="AL39" s="1">
        <f t="shared" si="28"/>
        <v>157.1731981156889</v>
      </c>
      <c r="AM39" s="1">
        <f t="shared" si="29"/>
        <v>4.4179711140574165</v>
      </c>
      <c r="AN39" s="1">
        <f t="shared" si="30"/>
        <v>-31.806350087051129</v>
      </c>
      <c r="AO39" s="1">
        <f t="shared" si="55"/>
        <v>0.16935677985969899</v>
      </c>
      <c r="AP39" s="1">
        <f t="shared" si="31"/>
        <v>157.1731981156889</v>
      </c>
      <c r="AQ39" s="1">
        <f t="shared" si="32"/>
        <v>4.4179711140574165</v>
      </c>
      <c r="AR39" s="1">
        <f t="shared" si="33"/>
        <v>-31.806350087051129</v>
      </c>
      <c r="AT39" s="1">
        <v>2.0002417884170498</v>
      </c>
      <c r="AU39" s="1">
        <v>4.3385467276163903</v>
      </c>
      <c r="AV39" s="1">
        <v>0.18387742359029099</v>
      </c>
      <c r="AW39" s="1">
        <f t="shared" si="34"/>
        <v>0.11969043336996596</v>
      </c>
      <c r="AX39" s="1">
        <f t="shared" si="35"/>
        <v>1.2912683205723074</v>
      </c>
      <c r="AY39" s="1">
        <f t="shared" si="36"/>
        <v>-0.38093723248245992</v>
      </c>
      <c r="AZ39" s="1">
        <f t="shared" si="56"/>
        <v>0.79974753226612538</v>
      </c>
      <c r="BA39" s="1">
        <f t="shared" si="57"/>
        <v>0.61121122167614783</v>
      </c>
      <c r="BB39" s="1">
        <f t="shared" si="58"/>
        <v>0.69236939305117406</v>
      </c>
      <c r="BC39" s="1">
        <f t="shared" si="37"/>
        <v>0.42328762618268195</v>
      </c>
      <c r="BD39" s="1">
        <f t="shared" si="38"/>
        <v>0.17919838516771652</v>
      </c>
      <c r="BE39" s="1">
        <f t="shared" si="39"/>
        <v>0.40886445007844535</v>
      </c>
      <c r="BF39" s="1">
        <f t="shared" si="40"/>
        <v>0.15819310475016554</v>
      </c>
      <c r="BG39" s="1">
        <f t="shared" si="41"/>
        <v>80.147777967690729</v>
      </c>
      <c r="BH39" s="1">
        <f t="shared" si="42"/>
        <v>-8.6387266427906031</v>
      </c>
      <c r="BI39" s="1">
        <f t="shared" si="43"/>
        <v>-32.95053737618035</v>
      </c>
      <c r="BJ39" s="1">
        <f t="shared" si="59"/>
        <v>0.18387742359029099</v>
      </c>
      <c r="BK39" s="1">
        <f t="shared" si="44"/>
        <v>80.147777967690729</v>
      </c>
      <c r="BL39" s="1">
        <f t="shared" si="45"/>
        <v>-8.6387266427906031</v>
      </c>
      <c r="BM39" s="1">
        <f t="shared" si="46"/>
        <v>-32.95053737618035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f>Ks_1-1*TAN(i_1)*TAN(φ1)</f>
        <v>0.1</v>
      </c>
      <c r="BX39" s="1">
        <f>0</f>
        <v>0</v>
      </c>
      <c r="BY39" s="1">
        <f>1*TAN(φ1)</f>
        <v>0.57735026918962573</v>
      </c>
      <c r="CA39" s="16">
        <f>N0c*TAN(φ1)-S0c+Cc</f>
        <v>7343.4828204100395</v>
      </c>
      <c r="CC39" s="19">
        <v>7881.5577857856488</v>
      </c>
    </row>
    <row r="40" spans="4:86" x14ac:dyDescent="0.25">
      <c r="D40" s="1">
        <v>1.55034566129359</v>
      </c>
      <c r="E40" s="14">
        <v>4.2245032049642299</v>
      </c>
      <c r="F40" s="1">
        <v>0.184519905958968</v>
      </c>
      <c r="G40" s="1">
        <f t="shared" si="8"/>
        <v>1.6517730140291509E-2</v>
      </c>
      <c r="H40" s="1">
        <f t="shared" si="9"/>
        <v>0.10740297946865862</v>
      </c>
      <c r="I40" s="1">
        <f t="shared" si="10"/>
        <v>1.4750611090390817E-2</v>
      </c>
      <c r="J40" s="1">
        <f t="shared" si="48"/>
        <v>0.10676182243182887</v>
      </c>
      <c r="K40" s="1">
        <f t="shared" si="49"/>
        <v>1.7158887177121246E-2</v>
      </c>
      <c r="L40" s="1">
        <f t="shared" si="50"/>
        <v>-1.6596420166559777E-2</v>
      </c>
      <c r="M40" s="1">
        <f t="shared" si="11"/>
        <v>3.7176212882685036E-2</v>
      </c>
      <c r="N40" s="1">
        <f t="shared" si="12"/>
        <v>8.5012535461356453E-2</v>
      </c>
      <c r="O40" s="1">
        <f t="shared" si="13"/>
        <v>-1.7954732073502917E-2</v>
      </c>
      <c r="P40" s="1">
        <f t="shared" si="14"/>
        <v>-9.4421292588057898E-3</v>
      </c>
      <c r="Q40" s="16">
        <f t="shared" si="15"/>
        <v>14.271145719401328</v>
      </c>
      <c r="R40" s="1">
        <f t="shared" si="16"/>
        <v>5.6276630798717919</v>
      </c>
      <c r="S40" s="1">
        <f t="shared" si="17"/>
        <v>4.9741056212119794</v>
      </c>
      <c r="T40" s="1">
        <f t="shared" si="51"/>
        <v>0.184519905958968</v>
      </c>
      <c r="U40" s="1">
        <f t="shared" si="18"/>
        <v>14.271145719401328</v>
      </c>
      <c r="V40" s="1">
        <f t="shared" si="19"/>
        <v>5.6276630798717919</v>
      </c>
      <c r="W40" s="1">
        <f t="shared" si="20"/>
        <v>4.9741056212119794</v>
      </c>
      <c r="Y40" s="1">
        <v>1.9337806863692699</v>
      </c>
      <c r="Z40" s="1">
        <v>4.3403182336110797</v>
      </c>
      <c r="AA40" s="1">
        <v>0.190490102356489</v>
      </c>
      <c r="AB40" s="1">
        <f t="shared" si="21"/>
        <v>9.9591772739115458E-2</v>
      </c>
      <c r="AC40" s="1">
        <f t="shared" si="22"/>
        <v>1.0094366856995074</v>
      </c>
      <c r="AD40" s="1">
        <f t="shared" si="23"/>
        <v>-0.33536350489409267</v>
      </c>
      <c r="AE40" s="1">
        <f t="shared" si="52"/>
        <v>0.67209653748825349</v>
      </c>
      <c r="AF40" s="1">
        <f t="shared" si="53"/>
        <v>0.4369319209503692</v>
      </c>
      <c r="AG40" s="1">
        <f t="shared" si="54"/>
        <v>0.55280875771551719</v>
      </c>
      <c r="AH40" s="1">
        <f t="shared" si="24"/>
        <v>0.3327085375315868</v>
      </c>
      <c r="AI40" s="1">
        <f t="shared" si="25"/>
        <v>-0.41914227649841174</v>
      </c>
      <c r="AJ40" s="1">
        <f t="shared" si="26"/>
        <v>-0.1606858845143129</v>
      </c>
      <c r="AK40" s="1">
        <f t="shared" si="27"/>
        <v>-0.34934723612288904</v>
      </c>
      <c r="AL40" s="1">
        <f t="shared" si="28"/>
        <v>64.34888099663462</v>
      </c>
      <c r="AM40" s="1">
        <f t="shared" si="29"/>
        <v>86.136952171181434</v>
      </c>
      <c r="AN40" s="1">
        <f t="shared" si="30"/>
        <v>-13.412994860293821</v>
      </c>
      <c r="AO40" s="1">
        <f t="shared" si="55"/>
        <v>0</v>
      </c>
      <c r="AP40" s="1">
        <f t="shared" si="31"/>
        <v>64.34888099663462</v>
      </c>
      <c r="AQ40" s="1">
        <f t="shared" si="32"/>
        <v>37.151843765458189</v>
      </c>
      <c r="AR40" s="1">
        <f t="shared" si="33"/>
        <v>-13.412994860293821</v>
      </c>
      <c r="AT40" s="1">
        <v>1.82834596196308</v>
      </c>
      <c r="AU40" s="1">
        <v>5.9606450390304504</v>
      </c>
      <c r="AV40" s="1">
        <v>0.21897464018746801</v>
      </c>
      <c r="AW40" s="1">
        <f t="shared" si="34"/>
        <v>0.80600252847570319</v>
      </c>
      <c r="AX40" s="1">
        <f t="shared" si="35"/>
        <v>1.2226183745959398</v>
      </c>
      <c r="AY40" s="1">
        <f t="shared" si="36"/>
        <v>-0.60158517725876959</v>
      </c>
      <c r="AZ40" s="1">
        <f t="shared" si="56"/>
        <v>0.89923549854594431</v>
      </c>
      <c r="BA40" s="1">
        <f t="shared" si="57"/>
        <v>1.129385404525699</v>
      </c>
      <c r="BB40" s="1">
        <f t="shared" si="58"/>
        <v>0.62614269260406041</v>
      </c>
      <c r="BC40" s="1">
        <f t="shared" si="37"/>
        <v>0.60858627092149298</v>
      </c>
      <c r="BD40" s="1">
        <f t="shared" si="38"/>
        <v>0.16205765379770387</v>
      </c>
      <c r="BE40" s="1">
        <f t="shared" si="39"/>
        <v>0.58784919660802593</v>
      </c>
      <c r="BF40" s="1">
        <f t="shared" si="40"/>
        <v>0.29230645195206534</v>
      </c>
      <c r="BG40" s="1">
        <f t="shared" si="41"/>
        <v>140.90431194507005</v>
      </c>
      <c r="BH40" s="1">
        <f t="shared" si="42"/>
        <v>-28.510450722731473</v>
      </c>
      <c r="BI40" s="1">
        <f t="shared" si="43"/>
        <v>-35.486516429977492</v>
      </c>
      <c r="BJ40" s="1">
        <f t="shared" si="59"/>
        <v>0.21897464018746801</v>
      </c>
      <c r="BK40" s="1">
        <f t="shared" si="44"/>
        <v>140.90431194507005</v>
      </c>
      <c r="BL40" s="1">
        <f t="shared" si="45"/>
        <v>-28.510450722731473</v>
      </c>
      <c r="BM40" s="1">
        <f t="shared" si="46"/>
        <v>-35.486516429977492</v>
      </c>
    </row>
    <row r="41" spans="4:86" x14ac:dyDescent="0.25">
      <c r="D41" s="1">
        <v>1.5274314448116399</v>
      </c>
      <c r="E41" s="14">
        <v>5.2970669299947604</v>
      </c>
      <c r="F41" s="1">
        <v>0.25024386802091098</v>
      </c>
      <c r="G41" s="1">
        <f t="shared" si="8"/>
        <v>0.46669983812824617</v>
      </c>
      <c r="H41" s="1">
        <f t="shared" si="9"/>
        <v>0.89593740300883606</v>
      </c>
      <c r="I41" s="1">
        <f t="shared" si="10"/>
        <v>9.5361268170973193E-2</v>
      </c>
      <c r="J41" s="1">
        <f t="shared" si="48"/>
        <v>0.88687042658448334</v>
      </c>
      <c r="K41" s="1">
        <f t="shared" si="49"/>
        <v>0.47576681455259884</v>
      </c>
      <c r="L41" s="1">
        <f t="shared" si="50"/>
        <v>-0.11359334613838688</v>
      </c>
      <c r="M41" s="1">
        <f t="shared" si="11"/>
        <v>0.40879117234112466</v>
      </c>
      <c r="N41" s="1">
        <f t="shared" si="12"/>
        <v>0.71248144976328753</v>
      </c>
      <c r="O41" s="1">
        <f t="shared" si="13"/>
        <v>-0.19743097546163879</v>
      </c>
      <c r="P41" s="1">
        <f t="shared" si="14"/>
        <v>2.8114826593078901E-2</v>
      </c>
      <c r="Q41" s="16">
        <f t="shared" si="15"/>
        <v>174.82808383633719</v>
      </c>
      <c r="R41" s="1">
        <f t="shared" si="16"/>
        <v>39.561293134737127</v>
      </c>
      <c r="S41" s="1">
        <f t="shared" si="17"/>
        <v>46.360300267222215</v>
      </c>
      <c r="T41" s="1">
        <f t="shared" si="51"/>
        <v>0.25024386802091098</v>
      </c>
      <c r="U41" s="1">
        <f t="shared" si="18"/>
        <v>174.82808383633719</v>
      </c>
      <c r="V41" s="1">
        <f t="shared" si="19"/>
        <v>39.561293134737127</v>
      </c>
      <c r="W41" s="1">
        <f t="shared" si="20"/>
        <v>46.360300267222215</v>
      </c>
      <c r="Y41" s="1">
        <v>2.2086793780019001</v>
      </c>
      <c r="Z41" s="1">
        <v>4.1248831208789696</v>
      </c>
      <c r="AA41" s="1">
        <v>0.13628068323706799</v>
      </c>
      <c r="AB41" s="1">
        <f t="shared" si="21"/>
        <v>7.4817769811970955E-2</v>
      </c>
      <c r="AC41" s="1">
        <f t="shared" si="22"/>
        <v>2.4016209161717104</v>
      </c>
      <c r="AD41" s="1">
        <f t="shared" si="23"/>
        <v>-0.20603240689295341</v>
      </c>
      <c r="AE41" s="1">
        <f t="shared" si="52"/>
        <v>1.3793697482623521</v>
      </c>
      <c r="AF41" s="1">
        <f t="shared" si="53"/>
        <v>1.0970689377213294</v>
      </c>
      <c r="AG41" s="1">
        <f t="shared" si="54"/>
        <v>1.1730426830509919</v>
      </c>
      <c r="AH41" s="1">
        <f t="shared" si="24"/>
        <v>0.74293160579510442</v>
      </c>
      <c r="AI41" s="1">
        <f t="shared" si="25"/>
        <v>-0.85025949621241637</v>
      </c>
      <c r="AJ41" s="1">
        <f t="shared" si="26"/>
        <v>-0.35880841260195062</v>
      </c>
      <c r="AK41" s="1">
        <f t="shared" si="27"/>
        <v>-0.69732699447982505</v>
      </c>
      <c r="AL41" s="1">
        <f t="shared" si="28"/>
        <v>95.950538335859463</v>
      </c>
      <c r="AM41" s="1">
        <f t="shared" si="29"/>
        <v>124.09444151320362</v>
      </c>
      <c r="AN41" s="1">
        <f t="shared" si="30"/>
        <v>-15.589494557968996</v>
      </c>
      <c r="AO41" s="1">
        <f t="shared" si="55"/>
        <v>0</v>
      </c>
      <c r="AP41" s="1">
        <f t="shared" si="31"/>
        <v>95.950538335859463</v>
      </c>
      <c r="AQ41" s="1">
        <f t="shared" si="32"/>
        <v>55.397069137097965</v>
      </c>
      <c r="AR41" s="1">
        <f t="shared" si="33"/>
        <v>-15.589494557968996</v>
      </c>
      <c r="AT41" s="1">
        <v>1.5721946356535701</v>
      </c>
      <c r="AU41" s="1">
        <v>4.1367057551510404</v>
      </c>
      <c r="AV41" s="1">
        <v>0.153998658584001</v>
      </c>
      <c r="AW41" s="1">
        <f t="shared" si="34"/>
        <v>3.2037557268377592E-3</v>
      </c>
      <c r="AX41" s="1">
        <f t="shared" si="35"/>
        <v>-2.7482697876272777E-2</v>
      </c>
      <c r="AY41" s="1">
        <f t="shared" si="36"/>
        <v>-6.5364884915449981E-4</v>
      </c>
      <c r="AZ41" s="1">
        <f t="shared" si="56"/>
        <v>-2.7484465879651067E-2</v>
      </c>
      <c r="BA41" s="1">
        <f t="shared" si="57"/>
        <v>3.205523730216047E-3</v>
      </c>
      <c r="BB41" s="1">
        <f t="shared" si="58"/>
        <v>6.1073720905729402E-4</v>
      </c>
      <c r="BC41" s="1">
        <f t="shared" si="37"/>
        <v>-7.2836826448305064E-3</v>
      </c>
      <c r="BD41" s="1">
        <f t="shared" si="38"/>
        <v>1.5807042125679392E-4</v>
      </c>
      <c r="BE41" s="1">
        <f t="shared" si="39"/>
        <v>-7.0354971771352534E-3</v>
      </c>
      <c r="BF41" s="1">
        <f t="shared" si="40"/>
        <v>8.296505909079875E-4</v>
      </c>
      <c r="BG41" s="1">
        <f t="shared" si="41"/>
        <v>-1.0134711858614971</v>
      </c>
      <c r="BH41" s="1">
        <f t="shared" si="42"/>
        <v>-0.40383092784198021</v>
      </c>
      <c r="BI41" s="1">
        <f t="shared" si="43"/>
        <v>-2.4342632835353952E-2</v>
      </c>
      <c r="BJ41" s="1">
        <f t="shared" si="59"/>
        <v>0</v>
      </c>
      <c r="BK41" s="1">
        <f t="shared" si="44"/>
        <v>0</v>
      </c>
      <c r="BL41" s="1">
        <f t="shared" si="45"/>
        <v>0</v>
      </c>
      <c r="BM41" s="1">
        <f t="shared" si="46"/>
        <v>0</v>
      </c>
    </row>
    <row r="42" spans="4:86" x14ac:dyDescent="0.25">
      <c r="D42" s="1">
        <v>1.13155060162785</v>
      </c>
      <c r="E42" s="14">
        <v>4.3088282097577597</v>
      </c>
      <c r="F42" s="1">
        <v>0.25256379520198002</v>
      </c>
      <c r="G42" s="1">
        <f t="shared" si="8"/>
        <v>0.11038733971457315</v>
      </c>
      <c r="H42" s="1">
        <f t="shared" si="9"/>
        <v>1.3202645955741612</v>
      </c>
      <c r="I42" s="1">
        <f t="shared" si="10"/>
        <v>0.36047000500971937</v>
      </c>
      <c r="J42" s="1">
        <f t="shared" si="48"/>
        <v>0.82398477152779315</v>
      </c>
      <c r="K42" s="1">
        <f t="shared" si="49"/>
        <v>0.60666716376094132</v>
      </c>
      <c r="L42" s="1">
        <f t="shared" si="50"/>
        <v>-0.69576047057296386</v>
      </c>
      <c r="M42" s="1">
        <f t="shared" si="11"/>
        <v>0.42919558058662038</v>
      </c>
      <c r="N42" s="1">
        <f t="shared" si="12"/>
        <v>0.50920063480089672</v>
      </c>
      <c r="O42" s="1">
        <f t="shared" si="13"/>
        <v>-0.20728554790887377</v>
      </c>
      <c r="P42" s="1">
        <f t="shared" si="14"/>
        <v>-0.42499796111091215</v>
      </c>
      <c r="Q42" s="16">
        <f t="shared" si="15"/>
        <v>105.0837885299095</v>
      </c>
      <c r="R42" s="1">
        <f t="shared" si="16"/>
        <v>139.28272767196896</v>
      </c>
      <c r="S42" s="1">
        <f t="shared" si="17"/>
        <v>18.963946297858083</v>
      </c>
      <c r="T42" s="1">
        <f t="shared" si="51"/>
        <v>0</v>
      </c>
      <c r="U42" s="1">
        <f t="shared" si="18"/>
        <v>105.0837885299095</v>
      </c>
      <c r="V42" s="1">
        <f t="shared" si="19"/>
        <v>60.670153595208951</v>
      </c>
      <c r="W42" s="1">
        <f t="shared" si="20"/>
        <v>18.963946297858083</v>
      </c>
      <c r="Y42" s="1">
        <v>2.3966733489912802</v>
      </c>
      <c r="Z42" s="1">
        <v>4.0735570171857498</v>
      </c>
      <c r="AA42" s="1">
        <v>0.102816438432928</v>
      </c>
      <c r="AB42" s="1">
        <f t="shared" si="21"/>
        <v>6.7984870940381845E-2</v>
      </c>
      <c r="AC42" s="1">
        <f t="shared" si="22"/>
        <v>3.7367611360810109</v>
      </c>
      <c r="AD42" s="1">
        <f t="shared" si="23"/>
        <v>-0.13121761722983327</v>
      </c>
      <c r="AE42" s="1">
        <f t="shared" si="52"/>
        <v>1.6232394558878713</v>
      </c>
      <c r="AF42" s="1">
        <f t="shared" si="53"/>
        <v>2.1815065511335217</v>
      </c>
      <c r="AG42" s="1">
        <f t="shared" si="54"/>
        <v>1.8177685074227072</v>
      </c>
      <c r="AH42" s="1">
        <f t="shared" si="24"/>
        <v>1.1414238021064178</v>
      </c>
      <c r="AI42" s="1">
        <f t="shared" si="25"/>
        <v>-0.88739316041211258</v>
      </c>
      <c r="AJ42" s="1">
        <f t="shared" si="26"/>
        <v>-0.55126536459782627</v>
      </c>
      <c r="AK42" s="1">
        <f t="shared" si="27"/>
        <v>-0.95597755043096322</v>
      </c>
      <c r="AL42" s="1">
        <f t="shared" si="28"/>
        <v>78.257125726669202</v>
      </c>
      <c r="AM42" s="1">
        <f t="shared" si="29"/>
        <v>122.726443670753</v>
      </c>
      <c r="AN42" s="1">
        <f t="shared" si="30"/>
        <v>3.4662742122154016</v>
      </c>
      <c r="AO42" s="1">
        <f t="shared" si="55"/>
        <v>0</v>
      </c>
      <c r="AP42" s="1">
        <f t="shared" si="31"/>
        <v>78.257125726669202</v>
      </c>
      <c r="AQ42" s="1">
        <f t="shared" si="32"/>
        <v>45.18177260429885</v>
      </c>
      <c r="AR42" s="1">
        <f t="shared" si="33"/>
        <v>3.4662742122154016</v>
      </c>
      <c r="AT42" s="1">
        <v>1.8501220261436899</v>
      </c>
      <c r="AU42" s="1">
        <v>4.3667156713767197</v>
      </c>
      <c r="AV42" s="1">
        <v>0.15922780554333901</v>
      </c>
      <c r="AW42" s="1">
        <f t="shared" si="34"/>
        <v>8.675376552162517E-2</v>
      </c>
      <c r="AX42" s="1">
        <f t="shared" si="35"/>
        <v>0.73367656446140028</v>
      </c>
      <c r="AY42" s="1">
        <f t="shared" si="36"/>
        <v>-0.28348136010329444</v>
      </c>
      <c r="AZ42" s="1">
        <f t="shared" si="56"/>
        <v>0.53424361334469828</v>
      </c>
      <c r="BA42" s="1">
        <f t="shared" si="57"/>
        <v>0.28618671663832712</v>
      </c>
      <c r="BB42" s="1">
        <f t="shared" si="58"/>
        <v>0.41183237181180044</v>
      </c>
      <c r="BC42" s="1">
        <f t="shared" si="37"/>
        <v>0.24612909899490759</v>
      </c>
      <c r="BD42" s="1">
        <f t="shared" si="38"/>
        <v>0.10659006121463634</v>
      </c>
      <c r="BE42" s="1">
        <f t="shared" si="39"/>
        <v>0.23774245332044</v>
      </c>
      <c r="BF42" s="1">
        <f t="shared" si="40"/>
        <v>7.4070572721357419E-2</v>
      </c>
      <c r="BG42" s="1">
        <f t="shared" si="41"/>
        <v>39.617860496037977</v>
      </c>
      <c r="BH42" s="1">
        <f t="shared" si="42"/>
        <v>-1.5945716381639443</v>
      </c>
      <c r="BI42" s="1">
        <f t="shared" si="43"/>
        <v>-16.972101539936723</v>
      </c>
      <c r="BJ42" s="1">
        <f t="shared" si="59"/>
        <v>0.15922780554333901</v>
      </c>
      <c r="BK42" s="1">
        <f t="shared" si="44"/>
        <v>39.617860496037977</v>
      </c>
      <c r="BL42" s="1">
        <f t="shared" si="45"/>
        <v>-1.5945716381639443</v>
      </c>
      <c r="BM42" s="1">
        <f t="shared" si="46"/>
        <v>-16.972101539936723</v>
      </c>
      <c r="BP42" s="90" t="s">
        <v>176</v>
      </c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</row>
    <row r="43" spans="4:86" x14ac:dyDescent="0.25">
      <c r="D43" s="1">
        <v>1.0707462400576</v>
      </c>
      <c r="E43" s="14">
        <v>4.1405168808047996</v>
      </c>
      <c r="F43" s="1">
        <v>0.135109906309692</v>
      </c>
      <c r="G43" s="1">
        <f t="shared" si="8"/>
        <v>5.5791528122428789E-2</v>
      </c>
      <c r="H43" s="1">
        <f t="shared" si="9"/>
        <v>1.5484330480367223</v>
      </c>
      <c r="I43" s="1">
        <f t="shared" si="10"/>
        <v>0.20162052934785435</v>
      </c>
      <c r="J43" s="1">
        <f t="shared" si="48"/>
        <v>1.0356194668709013</v>
      </c>
      <c r="K43" s="1">
        <f t="shared" si="49"/>
        <v>0.56860510928824981</v>
      </c>
      <c r="L43" s="1">
        <f t="shared" si="50"/>
        <v>-0.73696669670375059</v>
      </c>
      <c r="M43" s="1">
        <f t="shared" si="11"/>
        <v>0.48126737284774534</v>
      </c>
      <c r="N43" s="1">
        <f t="shared" si="12"/>
        <v>0.67557155179254191</v>
      </c>
      <c r="O43" s="1">
        <f t="shared" si="13"/>
        <v>-0.23243429239196367</v>
      </c>
      <c r="P43" s="1">
        <f t="shared" si="14"/>
        <v>-0.46931882567808436</v>
      </c>
      <c r="Q43" s="16">
        <f t="shared" si="15"/>
        <v>75.109638438184206</v>
      </c>
      <c r="R43" s="1">
        <f t="shared" si="16"/>
        <v>85.772038815445342</v>
      </c>
      <c r="S43" s="1">
        <f t="shared" si="17"/>
        <v>18.441390793693788</v>
      </c>
      <c r="T43" s="1">
        <f t="shared" si="51"/>
        <v>0</v>
      </c>
      <c r="U43" s="1">
        <f t="shared" si="18"/>
        <v>75.109638438184206</v>
      </c>
      <c r="V43" s="1">
        <f t="shared" si="19"/>
        <v>43.364569971021112</v>
      </c>
      <c r="W43" s="1">
        <f t="shared" si="20"/>
        <v>18.441390793693788</v>
      </c>
      <c r="Y43" s="1">
        <v>2.52484565730028</v>
      </c>
      <c r="Z43" s="1">
        <v>4.0063129365133197</v>
      </c>
      <c r="AA43" s="1">
        <v>4.4690354710948003E-2</v>
      </c>
      <c r="AB43" s="1">
        <f t="shared" si="21"/>
        <v>7.4868602150902326E-3</v>
      </c>
      <c r="AC43" s="1">
        <f t="shared" si="22"/>
        <v>4.7495370395170511</v>
      </c>
      <c r="AD43" s="1">
        <f t="shared" si="23"/>
        <v>-1.120599635894726E-2</v>
      </c>
      <c r="AE43" s="1">
        <f t="shared" si="52"/>
        <v>1.5832640876766413</v>
      </c>
      <c r="AF43" s="1">
        <f t="shared" si="53"/>
        <v>3.1737598120555002</v>
      </c>
      <c r="AG43" s="1">
        <f t="shared" si="54"/>
        <v>2.2337113483599396</v>
      </c>
      <c r="AH43" s="1">
        <f t="shared" si="24"/>
        <v>1.4271071699196425</v>
      </c>
      <c r="AI43" s="1">
        <f t="shared" si="25"/>
        <v>-0.74629918424689257</v>
      </c>
      <c r="AJ43" s="1">
        <f t="shared" si="26"/>
        <v>-0.68923983615384288</v>
      </c>
      <c r="AK43" s="1">
        <f t="shared" si="27"/>
        <v>-1.0471064768062908</v>
      </c>
      <c r="AL43" s="1">
        <f t="shared" si="28"/>
        <v>30.664627236165348</v>
      </c>
      <c r="AM43" s="1">
        <f t="shared" si="29"/>
        <v>56.662890585051827</v>
      </c>
      <c r="AN43" s="1">
        <f t="shared" si="30"/>
        <v>9.99944967356973</v>
      </c>
      <c r="AO43" s="1">
        <f t="shared" si="55"/>
        <v>0</v>
      </c>
      <c r="AP43" s="1">
        <f t="shared" si="31"/>
        <v>30.664627236165348</v>
      </c>
      <c r="AQ43" s="1">
        <f t="shared" si="32"/>
        <v>17.704230789399592</v>
      </c>
      <c r="AR43" s="1">
        <f t="shared" si="33"/>
        <v>9.99944967356973</v>
      </c>
      <c r="AT43" s="1">
        <v>1.44018168432849</v>
      </c>
      <c r="AU43" s="1">
        <v>4.3553488351844898</v>
      </c>
      <c r="AV43" s="1">
        <v>0.162471906228948</v>
      </c>
      <c r="AW43" s="1">
        <f t="shared" si="34"/>
        <v>5.6004129294861649E-2</v>
      </c>
      <c r="AX43" s="1">
        <f t="shared" si="35"/>
        <v>0.37381700010465746</v>
      </c>
      <c r="AY43" s="1">
        <f t="shared" si="36"/>
        <v>0.13486674769762613</v>
      </c>
      <c r="AZ43" s="1">
        <f t="shared" si="56"/>
        <v>0.33359400771377057</v>
      </c>
      <c r="BA43" s="1">
        <f t="shared" si="57"/>
        <v>9.6227121685748568E-2</v>
      </c>
      <c r="BB43" s="1">
        <f t="shared" si="58"/>
        <v>-0.17133165265637912</v>
      </c>
      <c r="BC43" s="1">
        <f t="shared" si="37"/>
        <v>0.12894633881985573</v>
      </c>
      <c r="BD43" s="1">
        <f t="shared" si="38"/>
        <v>-4.4343894736360884E-2</v>
      </c>
      <c r="BE43" s="1">
        <f t="shared" si="39"/>
        <v>0.12455259887151932</v>
      </c>
      <c r="BF43" s="1">
        <f t="shared" si="40"/>
        <v>2.490541174766955E-2</v>
      </c>
      <c r="BG43" s="1">
        <f t="shared" si="41"/>
        <v>20.594056102242636</v>
      </c>
      <c r="BH43" s="1">
        <f t="shared" si="42"/>
        <v>1.3289883945243057</v>
      </c>
      <c r="BI43" s="1">
        <f t="shared" si="43"/>
        <v>7.2046371074323616</v>
      </c>
      <c r="BJ43" s="1">
        <f t="shared" si="59"/>
        <v>0.162471906228948</v>
      </c>
      <c r="BK43" s="1">
        <f t="shared" si="44"/>
        <v>20.594056102242636</v>
      </c>
      <c r="BL43" s="1">
        <f t="shared" si="45"/>
        <v>1.3289883945243057</v>
      </c>
      <c r="BM43" s="1">
        <f t="shared" si="46"/>
        <v>7.2046371074323616</v>
      </c>
    </row>
    <row r="44" spans="4:86" x14ac:dyDescent="0.25">
      <c r="D44" s="1">
        <v>0.85916068875983398</v>
      </c>
      <c r="E44" s="14">
        <v>4.1667883267510204</v>
      </c>
      <c r="F44" s="1">
        <v>0.194339002097736</v>
      </c>
      <c r="G44" s="1">
        <f t="shared" si="8"/>
        <v>0.11845593001798274</v>
      </c>
      <c r="H44" s="1">
        <f t="shared" si="9"/>
        <v>2.8795107439189467</v>
      </c>
      <c r="I44" s="1">
        <f t="shared" si="10"/>
        <v>0.27607431957281381</v>
      </c>
      <c r="J44" s="1">
        <f t="shared" si="48"/>
        <v>1.4288322040481902</v>
      </c>
      <c r="K44" s="1">
        <f t="shared" si="49"/>
        <v>1.5691344698887391</v>
      </c>
      <c r="L44" s="1">
        <f t="shared" si="50"/>
        <v>-1.4061122891927997</v>
      </c>
      <c r="M44" s="1">
        <f t="shared" si="11"/>
        <v>0.89939000218107878</v>
      </c>
      <c r="N44" s="1">
        <f t="shared" si="12"/>
        <v>0.83131279399613756</v>
      </c>
      <c r="O44" s="1">
        <f t="shared" si="13"/>
        <v>-0.43437201550644255</v>
      </c>
      <c r="P44" s="1">
        <f t="shared" si="14"/>
        <v>-0.77011396966181489</v>
      </c>
      <c r="Q44" s="16">
        <f t="shared" si="15"/>
        <v>137.17848291055881</v>
      </c>
      <c r="R44" s="1">
        <f t="shared" si="16"/>
        <v>191.69958943173788</v>
      </c>
      <c r="S44" s="1">
        <f t="shared" si="17"/>
        <v>7.6723477245876479</v>
      </c>
      <c r="T44" s="1">
        <f t="shared" si="51"/>
        <v>0</v>
      </c>
      <c r="U44" s="1">
        <f t="shared" si="18"/>
        <v>137.17848291055881</v>
      </c>
      <c r="V44" s="1">
        <f t="shared" si="19"/>
        <v>79.200034035435607</v>
      </c>
      <c r="W44" s="1">
        <f t="shared" si="20"/>
        <v>7.6723477245876479</v>
      </c>
      <c r="Y44" s="1">
        <v>2.3111122658002801</v>
      </c>
      <c r="Z44" s="1">
        <v>4.2475515388928997</v>
      </c>
      <c r="AA44" s="1">
        <v>0.18066496892127101</v>
      </c>
      <c r="AB44" s="1">
        <f t="shared" si="21"/>
        <v>0.1826157482534311</v>
      </c>
      <c r="AC44" s="1">
        <f t="shared" si="22"/>
        <v>3.0255411893352608</v>
      </c>
      <c r="AD44" s="1">
        <f t="shared" si="23"/>
        <v>-0.38986866412588367</v>
      </c>
      <c r="AE44" s="1">
        <f t="shared" si="52"/>
        <v>1.3437852919831295</v>
      </c>
      <c r="AF44" s="1">
        <f t="shared" si="53"/>
        <v>1.8643716456055626</v>
      </c>
      <c r="AG44" s="1">
        <f t="shared" si="54"/>
        <v>1.450793335820235</v>
      </c>
      <c r="AH44" s="1">
        <f t="shared" si="24"/>
        <v>0.9624470812766075</v>
      </c>
      <c r="AI44" s="1">
        <f t="shared" si="25"/>
        <v>-0.7486053596488641</v>
      </c>
      <c r="AJ44" s="1">
        <f t="shared" si="26"/>
        <v>-0.46482624612080503</v>
      </c>
      <c r="AK44" s="1">
        <f t="shared" si="27"/>
        <v>-0.73107738973593983</v>
      </c>
      <c r="AL44" s="1">
        <f t="shared" si="28"/>
        <v>119.50945679362167</v>
      </c>
      <c r="AM44" s="1">
        <f t="shared" si="29"/>
        <v>168.76181684674197</v>
      </c>
      <c r="AN44" s="1">
        <f t="shared" si="30"/>
        <v>5.1035428585624683</v>
      </c>
      <c r="AO44" s="1">
        <f t="shared" si="55"/>
        <v>0</v>
      </c>
      <c r="AP44" s="1">
        <f t="shared" si="31"/>
        <v>119.50945679362167</v>
      </c>
      <c r="AQ44" s="1">
        <f t="shared" si="32"/>
        <v>68.998817050503419</v>
      </c>
      <c r="AR44" s="1">
        <f t="shared" si="33"/>
        <v>5.1035428585624683</v>
      </c>
      <c r="AT44" s="1">
        <v>2.43196237907059</v>
      </c>
      <c r="AU44" s="1">
        <v>4.0944178706001297</v>
      </c>
      <c r="AV44" s="1">
        <v>6.6422840230588004E-2</v>
      </c>
      <c r="AW44" s="1">
        <f t="shared" si="34"/>
        <v>9.2125173138321886E-2</v>
      </c>
      <c r="AX44" s="1">
        <f t="shared" si="35"/>
        <v>3.9624768351647242</v>
      </c>
      <c r="AY44" s="1">
        <f t="shared" si="36"/>
        <v>-0.16452533863613197</v>
      </c>
      <c r="AZ44" s="1">
        <f t="shared" si="56"/>
        <v>1.5725337110997371</v>
      </c>
      <c r="BA44" s="1">
        <f t="shared" si="57"/>
        <v>2.4820682972033086</v>
      </c>
      <c r="BB44" s="1">
        <f t="shared" si="58"/>
        <v>1.8881633385809926</v>
      </c>
      <c r="BC44" s="1">
        <f t="shared" si="37"/>
        <v>1.2163806024909136</v>
      </c>
      <c r="BD44" s="1">
        <f t="shared" si="38"/>
        <v>0.48869263228911969</v>
      </c>
      <c r="BE44" s="1">
        <f t="shared" si="39"/>
        <v>1.1749334385430306</v>
      </c>
      <c r="BF44" s="1">
        <f t="shared" si="40"/>
        <v>0.64240654656139951</v>
      </c>
      <c r="BG44" s="1">
        <f t="shared" si="41"/>
        <v>86.427114855858036</v>
      </c>
      <c r="BH44" s="1">
        <f t="shared" si="42"/>
        <v>-21.017642881925635</v>
      </c>
      <c r="BI44" s="1">
        <f t="shared" si="43"/>
        <v>-32.460352636405709</v>
      </c>
      <c r="BJ44" s="1">
        <f t="shared" si="59"/>
        <v>6.6422840230588004E-2</v>
      </c>
      <c r="BK44" s="1">
        <f t="shared" si="44"/>
        <v>86.427114855858036</v>
      </c>
      <c r="BL44" s="1">
        <f t="shared" si="45"/>
        <v>-21.017642881925635</v>
      </c>
      <c r="BM44" s="1">
        <f t="shared" si="46"/>
        <v>-32.460352636405709</v>
      </c>
      <c r="BP44" s="90" t="s">
        <v>313</v>
      </c>
      <c r="BQ44" s="90"/>
      <c r="BR44" s="90"/>
      <c r="BS44" s="90"/>
      <c r="BT44" s="90"/>
      <c r="BU44" s="90"/>
      <c r="BV44" s="90"/>
      <c r="BW44" s="90"/>
      <c r="BX44" s="90"/>
      <c r="CA44" s="32" t="s">
        <v>314</v>
      </c>
      <c r="CC44" s="32" t="s">
        <v>315</v>
      </c>
      <c r="CH44" s="80" t="s">
        <v>174</v>
      </c>
    </row>
    <row r="45" spans="4:86" x14ac:dyDescent="0.25">
      <c r="D45" s="1">
        <v>0.83041098374789402</v>
      </c>
      <c r="E45" s="14">
        <v>4.2474283153433898</v>
      </c>
      <c r="F45" s="1">
        <v>0.180906400797301</v>
      </c>
      <c r="G45" s="1">
        <f t="shared" si="8"/>
        <v>0.18255576565495793</v>
      </c>
      <c r="H45" s="1">
        <f t="shared" si="9"/>
        <v>3.0260471149182293</v>
      </c>
      <c r="I45" s="1">
        <f t="shared" si="10"/>
        <v>0.38971270853737555</v>
      </c>
      <c r="J45" s="1">
        <f t="shared" si="48"/>
        <v>1.3439876469056049</v>
      </c>
      <c r="K45" s="1">
        <f t="shared" si="49"/>
        <v>1.8646152336675823</v>
      </c>
      <c r="L45" s="1">
        <f t="shared" si="50"/>
        <v>-1.4510249782498241</v>
      </c>
      <c r="M45" s="1">
        <f t="shared" si="11"/>
        <v>0.9625808641719561</v>
      </c>
      <c r="N45" s="1">
        <f t="shared" si="12"/>
        <v>0.74871467936822533</v>
      </c>
      <c r="O45" s="1">
        <f t="shared" si="13"/>
        <v>-0.46489085829767085</v>
      </c>
      <c r="P45" s="1">
        <f t="shared" si="14"/>
        <v>-0.73120811717531886</v>
      </c>
      <c r="Q45" s="16">
        <f t="shared" si="15"/>
        <v>119.68523121019975</v>
      </c>
      <c r="R45" s="1">
        <f t="shared" si="16"/>
        <v>169.01613097339339</v>
      </c>
      <c r="S45" s="1">
        <f t="shared" si="17"/>
        <v>-5.1105974264446123</v>
      </c>
      <c r="T45" s="1">
        <f t="shared" si="51"/>
        <v>0</v>
      </c>
      <c r="U45" s="1">
        <f t="shared" si="18"/>
        <v>119.68523121019975</v>
      </c>
      <c r="V45" s="1">
        <f t="shared" si="19"/>
        <v>69.100300457231413</v>
      </c>
      <c r="W45" s="1">
        <f t="shared" si="20"/>
        <v>-5.1105974264446123</v>
      </c>
      <c r="Y45" s="1">
        <v>2.4495210072348099</v>
      </c>
      <c r="Z45" s="1">
        <v>4.0950557003016499</v>
      </c>
      <c r="AA45" s="1">
        <v>8.9261477813201998E-2</v>
      </c>
      <c r="AB45" s="1">
        <f t="shared" si="21"/>
        <v>9.5515399061764261E-2</v>
      </c>
      <c r="AC45" s="1">
        <f t="shared" si="22"/>
        <v>4.0837563882765311</v>
      </c>
      <c r="AD45" s="1">
        <f t="shared" si="23"/>
        <v>-0.16457026561708052</v>
      </c>
      <c r="AE45" s="1">
        <f t="shared" si="52"/>
        <v>1.5578729248112873</v>
      </c>
      <c r="AF45" s="1">
        <f t="shared" si="53"/>
        <v>2.6213988625270077</v>
      </c>
      <c r="AG45" s="1">
        <f t="shared" si="54"/>
        <v>1.9289448059210885</v>
      </c>
      <c r="AH45" s="1">
        <f t="shared" si="24"/>
        <v>1.2537815362014884</v>
      </c>
      <c r="AI45" s="1">
        <f t="shared" si="25"/>
        <v>-0.80393844803238212</v>
      </c>
      <c r="AJ45" s="1">
        <f t="shared" si="26"/>
        <v>-0.60552998317070061</v>
      </c>
      <c r="AK45" s="1">
        <f t="shared" si="27"/>
        <v>-0.93512582873127748</v>
      </c>
      <c r="AL45" s="1">
        <f t="shared" si="28"/>
        <v>64.529601067261069</v>
      </c>
      <c r="AM45" s="1">
        <f t="shared" si="29"/>
        <v>103.70589585306944</v>
      </c>
      <c r="AN45" s="1">
        <f t="shared" si="30"/>
        <v>10.928740119014297</v>
      </c>
      <c r="AO45" s="1">
        <f t="shared" si="55"/>
        <v>0</v>
      </c>
      <c r="AP45" s="1">
        <f t="shared" si="31"/>
        <v>64.529601067261069</v>
      </c>
      <c r="AQ45" s="1">
        <f t="shared" si="32"/>
        <v>37.256182546882336</v>
      </c>
      <c r="AR45" s="1">
        <f t="shared" si="33"/>
        <v>10.928740119014297</v>
      </c>
      <c r="AT45" s="1">
        <v>0.70963027451919702</v>
      </c>
      <c r="AU45" s="1">
        <v>4.0944178706001297</v>
      </c>
      <c r="AV45" s="1">
        <v>6.6422840230587005E-2</v>
      </c>
      <c r="AW45" s="1">
        <f t="shared" si="34"/>
        <v>9.2125173138322872E-2</v>
      </c>
      <c r="AX45" s="1">
        <f t="shared" si="35"/>
        <v>3.9624768351647677</v>
      </c>
      <c r="AY45" s="1">
        <f t="shared" si="36"/>
        <v>0.16452533863613167</v>
      </c>
      <c r="AZ45" s="1">
        <f t="shared" si="56"/>
        <v>1.5725337110997331</v>
      </c>
      <c r="BA45" s="1">
        <f t="shared" si="57"/>
        <v>2.482068297203357</v>
      </c>
      <c r="BB45" s="1">
        <f t="shared" si="58"/>
        <v>-1.8881633385810077</v>
      </c>
      <c r="BC45" s="1">
        <f t="shared" si="37"/>
        <v>1.2163806024909269</v>
      </c>
      <c r="BD45" s="1">
        <f t="shared" si="38"/>
        <v>-0.48869263228912435</v>
      </c>
      <c r="BE45" s="1">
        <f t="shared" si="39"/>
        <v>1.1749334385430434</v>
      </c>
      <c r="BF45" s="1">
        <f t="shared" si="40"/>
        <v>0.64240654656141294</v>
      </c>
      <c r="BG45" s="1">
        <f t="shared" si="41"/>
        <v>86.427114855857809</v>
      </c>
      <c r="BH45" s="1">
        <f t="shared" si="42"/>
        <v>-21.017642881925948</v>
      </c>
      <c r="BI45" s="1">
        <f t="shared" si="43"/>
        <v>32.460352636405496</v>
      </c>
      <c r="BJ45" s="1">
        <f t="shared" si="59"/>
        <v>6.6422840230587005E-2</v>
      </c>
      <c r="BK45" s="1">
        <f t="shared" si="44"/>
        <v>86.427114855857809</v>
      </c>
      <c r="BL45" s="1">
        <f t="shared" si="45"/>
        <v>-21.017642881925948</v>
      </c>
      <c r="BM45" s="1">
        <f t="shared" si="46"/>
        <v>32.460352636405496</v>
      </c>
      <c r="BP45" s="1">
        <f>BQ30</f>
        <v>-2.2414386804201339E-2</v>
      </c>
      <c r="BQ45" s="1">
        <f t="shared" ref="BQ45:BX45" si="71">BR30</f>
        <v>-4.9999999999999982E-2</v>
      </c>
      <c r="BR45" s="1">
        <f t="shared" si="71"/>
        <v>0.83651630373780794</v>
      </c>
      <c r="BS45" s="1">
        <f t="shared" si="71"/>
        <v>2.2414386804201328E-2</v>
      </c>
      <c r="BT45" s="1">
        <f t="shared" si="71"/>
        <v>-5.0000000000000044E-2</v>
      </c>
      <c r="BU45" s="1">
        <f t="shared" si="71"/>
        <v>-0.83651630373780761</v>
      </c>
      <c r="BV45" s="1">
        <f t="shared" si="71"/>
        <v>6.341835064165555E-18</v>
      </c>
      <c r="BW45" s="1">
        <f t="shared" si="71"/>
        <v>0.1</v>
      </c>
      <c r="BX45" s="1">
        <f t="shared" si="71"/>
        <v>-2.3668050672687681E-16</v>
      </c>
      <c r="CA45" s="16">
        <f>N0a*nxa+N0b*nxb+N0c*nxc+S0a*mxa+S0b*mxb+S0c*mxc+T0a*kxa+T0b*kxb+T0c*kxc-Fta*nxa-Ftb*nxb-Ftc*nxc</f>
        <v>15.570182376865333</v>
      </c>
      <c r="CC45" s="19" cm="1">
        <f t="array" ref="CC45:CC53">MMULT(MINVERSE($BP$45:$BX$53),$CA$45:$CA$53)</f>
        <v>9235.7520646468329</v>
      </c>
      <c r="CD45" t="s">
        <v>307</v>
      </c>
      <c r="CE45" s="1">
        <f>(CC45*mxa+CC46*kxa-CC47*nxa)/SQRT(CC45^2+CC46^2+CC47^2)</f>
        <v>-1.048684064170988E-3</v>
      </c>
      <c r="CF45" s="1">
        <f>(CC45*mya+CC46*kya-CC47*nya)/SQRT(CC45^2+CC46^2+CC47^2)</f>
        <v>-4.033753653138189E-2</v>
      </c>
      <c r="CG45" s="1">
        <f>(CC45*mza+CC46*kza-CC47*nza)/SQRT(CC45^2+CC46^2+CC47^2)</f>
        <v>-0.9991855600479389</v>
      </c>
      <c r="CH45" s="3" t="str">
        <f>IF(AND(CE45*nxa+CF45*nya+CG45*nza&lt;=0,CE45*nxb+CF45*nyb+CG45*nzb&lt;=0,CE45*nxc+CF45*nyc+CG45*nzc&lt;=0),"ok","wrong")</f>
        <v>ok</v>
      </c>
    </row>
    <row r="46" spans="4:86" x14ac:dyDescent="0.25">
      <c r="D46" s="1">
        <v>0.53506087595309604</v>
      </c>
      <c r="E46" s="14">
        <v>4.00019396663635</v>
      </c>
      <c r="F46" s="1">
        <v>4.4630765415258997E-2</v>
      </c>
      <c r="G46" s="1">
        <f t="shared" si="8"/>
        <v>2.5816060655121389E-4</v>
      </c>
      <c r="H46" s="1">
        <f t="shared" si="9"/>
        <v>5.3240317443989467</v>
      </c>
      <c r="I46" s="1">
        <f t="shared" si="10"/>
        <v>3.2155367052188072E-4</v>
      </c>
      <c r="J46" s="1">
        <f t="shared" si="48"/>
        <v>1.3841108241456315</v>
      </c>
      <c r="K46" s="1">
        <f t="shared" si="49"/>
        <v>3.940179080859866</v>
      </c>
      <c r="L46" s="1">
        <f t="shared" si="50"/>
        <v>-2.3350096708627692</v>
      </c>
      <c r="M46" s="1">
        <f t="shared" si="11"/>
        <v>1.5972869715016491</v>
      </c>
      <c r="N46" s="1">
        <f t="shared" si="12"/>
        <v>0.55348629725994147</v>
      </c>
      <c r="O46" s="1">
        <f t="shared" si="13"/>
        <v>-0.77143036888424665</v>
      </c>
      <c r="P46" s="1">
        <f t="shared" si="14"/>
        <v>-0.93348027182108084</v>
      </c>
      <c r="Q46" s="16">
        <f t="shared" si="15"/>
        <v>26.509340072844381</v>
      </c>
      <c r="R46" s="1">
        <f t="shared" si="16"/>
        <v>50.234769373325733</v>
      </c>
      <c r="S46" s="1">
        <f t="shared" si="17"/>
        <v>-17.465587192462561</v>
      </c>
      <c r="T46" s="1">
        <f t="shared" si="51"/>
        <v>0</v>
      </c>
      <c r="U46" s="1">
        <f t="shared" si="18"/>
        <v>26.509340072844381</v>
      </c>
      <c r="V46" s="1">
        <f t="shared" si="19"/>
        <v>15.305174627096036</v>
      </c>
      <c r="W46" s="1">
        <f t="shared" si="20"/>
        <v>-15.305174627096036</v>
      </c>
      <c r="Y46" s="1">
        <v>1.9304449874581699</v>
      </c>
      <c r="Z46" s="1">
        <v>5.48177537983329</v>
      </c>
      <c r="AA46" s="1">
        <v>0.200937165859573</v>
      </c>
      <c r="AB46" s="1">
        <f t="shared" si="21"/>
        <v>0.62200770254448168</v>
      </c>
      <c r="AC46" s="1">
        <f t="shared" si="22"/>
        <v>1.3739346674462101</v>
      </c>
      <c r="AD46" s="1">
        <f t="shared" si="23"/>
        <v>-0.7561042781692584</v>
      </c>
      <c r="AE46" s="1">
        <f t="shared" si="52"/>
        <v>0.78263279725961765</v>
      </c>
      <c r="AF46" s="1">
        <f t="shared" si="53"/>
        <v>1.2133095727310739</v>
      </c>
      <c r="AG46" s="1">
        <f t="shared" si="54"/>
        <v>0.81649960096120922</v>
      </c>
      <c r="AH46" s="1">
        <f t="shared" si="24"/>
        <v>0.59878271099720748</v>
      </c>
      <c r="AI46" s="1">
        <f t="shared" si="25"/>
        <v>-0.44335944770022689</v>
      </c>
      <c r="AJ46" s="1">
        <f t="shared" si="26"/>
        <v>-0.28918984244379325</v>
      </c>
      <c r="AK46" s="1">
        <f t="shared" si="27"/>
        <v>-0.36898760317146162</v>
      </c>
      <c r="AL46" s="1">
        <f t="shared" si="28"/>
        <v>83.397836614393256</v>
      </c>
      <c r="AM46" s="1">
        <f t="shared" si="29"/>
        <v>99.10519943598176</v>
      </c>
      <c r="AN46" s="1">
        <f t="shared" si="30"/>
        <v>5.780163782217536</v>
      </c>
      <c r="AO46" s="1">
        <f t="shared" si="55"/>
        <v>0</v>
      </c>
      <c r="AP46" s="1">
        <f t="shared" si="31"/>
        <v>83.397836614393256</v>
      </c>
      <c r="AQ46" s="1">
        <f t="shared" si="32"/>
        <v>48.149763419152372</v>
      </c>
      <c r="AR46" s="1">
        <f t="shared" si="33"/>
        <v>5.780163782217536</v>
      </c>
      <c r="AT46" s="1">
        <v>2.4978248928233602</v>
      </c>
      <c r="AU46" s="1">
        <v>3.9978752570651301</v>
      </c>
      <c r="AV46" s="1">
        <v>3.3211420115294002E-2</v>
      </c>
      <c r="AW46" s="1">
        <f t="shared" si="34"/>
        <v>-2.4284706128580719E-3</v>
      </c>
      <c r="AX46" s="1">
        <f t="shared" si="35"/>
        <v>4.5700163195807377</v>
      </c>
      <c r="AY46" s="1">
        <f t="shared" si="36"/>
        <v>3.8618840961595594E-3</v>
      </c>
      <c r="AZ46" s="1">
        <f t="shared" si="56"/>
        <v>1.6485302110834921</v>
      </c>
      <c r="BA46" s="1">
        <f t="shared" si="57"/>
        <v>2.9190576378843875</v>
      </c>
      <c r="BB46" s="1">
        <f t="shared" si="58"/>
        <v>2.1961939277822404</v>
      </c>
      <c r="BC46" s="1">
        <f t="shared" si="37"/>
        <v>1.3702763546903638</v>
      </c>
      <c r="BD46" s="1">
        <f t="shared" si="38"/>
        <v>0.56841681524855336</v>
      </c>
      <c r="BE46" s="1">
        <f t="shared" si="39"/>
        <v>1.323585320148662</v>
      </c>
      <c r="BF46" s="1">
        <f t="shared" si="40"/>
        <v>0.75550771043645637</v>
      </c>
      <c r="BG46" s="1">
        <f t="shared" si="41"/>
        <v>48.954464472387976</v>
      </c>
      <c r="BH46" s="1">
        <f t="shared" si="42"/>
        <v>-12.8593064657152</v>
      </c>
      <c r="BI46" s="1">
        <f t="shared" si="43"/>
        <v>-18.877929651817173</v>
      </c>
      <c r="BJ46" s="1">
        <f t="shared" si="59"/>
        <v>3.3211420115294002E-2</v>
      </c>
      <c r="BK46" s="1">
        <f t="shared" si="44"/>
        <v>48.954464472387976</v>
      </c>
      <c r="BL46" s="1">
        <f t="shared" si="45"/>
        <v>-12.8593064657152</v>
      </c>
      <c r="BM46" s="1">
        <f t="shared" si="46"/>
        <v>-18.877929651817173</v>
      </c>
      <c r="BP46" s="1">
        <f t="shared" ref="BP46:BX46" si="72">BQ31</f>
        <v>1.2940952255126032E-2</v>
      </c>
      <c r="BQ46" s="1">
        <f t="shared" si="72"/>
        <v>-8.6602540378443879E-2</v>
      </c>
      <c r="BR46" s="1">
        <f t="shared" si="72"/>
        <v>-0.48296291314453393</v>
      </c>
      <c r="BS46" s="1">
        <f t="shared" si="72"/>
        <v>1.2940952255126049E-2</v>
      </c>
      <c r="BT46" s="1">
        <f t="shared" si="72"/>
        <v>8.6602540378443837E-2</v>
      </c>
      <c r="BU46" s="1">
        <f t="shared" si="72"/>
        <v>-0.4829629131445346</v>
      </c>
      <c r="BV46" s="1">
        <f t="shared" si="72"/>
        <v>-2.5881904510252074E-2</v>
      </c>
      <c r="BW46" s="1">
        <f t="shared" si="72"/>
        <v>2.4502969098172397E-17</v>
      </c>
      <c r="BX46" s="1">
        <f t="shared" si="72"/>
        <v>0.96592582628906831</v>
      </c>
      <c r="CA46" s="79">
        <f>N0a*nya+N0b*nyb+N0c*nyc+S0a*mya+S0b*myb+S0c*myc+T0a*kya+T0b*kyb+T0c*kyc-Fta*nya-Ftb*nyb-Ftc*nyc</f>
        <v>598.90563982541084</v>
      </c>
      <c r="CC46" s="19">
        <v>-337.56327233009716</v>
      </c>
      <c r="CD46" t="s">
        <v>308</v>
      </c>
      <c r="CE46" s="1">
        <f>(CC48*mxb+CC49*kxb-CC50*nxb)/SQRT(CC48^2+CC49^2+CC50^2)</f>
        <v>-1.0486840641710596E-3</v>
      </c>
      <c r="CF46" s="1">
        <f>(CC48*myb+CC49*kyb-CC50*nyb)/SQRT(CC48^2+CC49^2+CC50^2)</f>
        <v>-4.0337536531381862E-2</v>
      </c>
      <c r="CG46" s="1">
        <f>(CC48*mzb+CC49*kzb-CC50*nzb)/SQRT(CC48^2+CC49^2+CC50^2)</f>
        <v>-0.99918556004793868</v>
      </c>
      <c r="CH46" s="3" t="str">
        <f>IF(AND(CE46*nxa+CF46*nya+CG46*nza&lt;=0,CE46*nxb+CF46*nyb+CG46*nzb&lt;=0,CE46*nxc+CF46*nyc+CG46*nzc&lt;=0),"ok","wrong")</f>
        <v>ok</v>
      </c>
    </row>
    <row r="47" spans="4:86" x14ac:dyDescent="0.25">
      <c r="D47" s="1">
        <v>0.74484461587748696</v>
      </c>
      <c r="E47" s="14">
        <v>4.0734594372484496</v>
      </c>
      <c r="F47" s="1">
        <v>0.10269413213095301</v>
      </c>
      <c r="G47" s="1">
        <f t="shared" si="8"/>
        <v>6.7907012242893611E-2</v>
      </c>
      <c r="H47" s="1">
        <f t="shared" si="9"/>
        <v>3.7373957947426266</v>
      </c>
      <c r="I47" s="1">
        <f t="shared" si="10"/>
        <v>0.13105131571277415</v>
      </c>
      <c r="J47" s="1">
        <f t="shared" si="48"/>
        <v>1.6233832167598679</v>
      </c>
      <c r="K47" s="1">
        <f t="shared" si="49"/>
        <v>2.1819195902256525</v>
      </c>
      <c r="L47" s="1">
        <f t="shared" si="50"/>
        <v>-1.8180953518591412</v>
      </c>
      <c r="M47" s="1">
        <f t="shared" si="11"/>
        <v>1.141590842095656</v>
      </c>
      <c r="N47" s="1">
        <f t="shared" si="12"/>
        <v>0.88742882516044297</v>
      </c>
      <c r="O47" s="1">
        <f t="shared" si="13"/>
        <v>-0.55134603871763965</v>
      </c>
      <c r="P47" s="1">
        <f t="shared" si="14"/>
        <v>-0.95614405874741137</v>
      </c>
      <c r="Q47" s="16">
        <f t="shared" si="15"/>
        <v>78.166673561107984</v>
      </c>
      <c r="R47" s="1">
        <f t="shared" si="16"/>
        <v>122.59886307224519</v>
      </c>
      <c r="S47" s="1">
        <f t="shared" si="17"/>
        <v>-3.4674944030823625</v>
      </c>
      <c r="T47" s="1">
        <f t="shared" si="51"/>
        <v>0</v>
      </c>
      <c r="U47" s="1">
        <f t="shared" si="18"/>
        <v>78.166673561107984</v>
      </c>
      <c r="V47" s="1">
        <f t="shared" si="19"/>
        <v>45.129550022163293</v>
      </c>
      <c r="W47" s="1">
        <f t="shared" si="20"/>
        <v>-3.4674944030823625</v>
      </c>
      <c r="Y47" s="1">
        <v>1.9865010791207001</v>
      </c>
      <c r="Z47" s="1">
        <v>5.06268084071149</v>
      </c>
      <c r="AA47" s="1">
        <v>0.23146467114657601</v>
      </c>
      <c r="AB47" s="1">
        <f t="shared" si="21"/>
        <v>0.4506193191443888</v>
      </c>
      <c r="AC47" s="1">
        <f t="shared" si="22"/>
        <v>1.4693546641473763</v>
      </c>
      <c r="AD47" s="1">
        <f t="shared" si="23"/>
        <v>-0.75370832259510956</v>
      </c>
      <c r="AE47" s="1">
        <f t="shared" si="52"/>
        <v>0.74631532206601658</v>
      </c>
      <c r="AF47" s="1">
        <f t="shared" si="53"/>
        <v>1.1736586612257485</v>
      </c>
      <c r="AG47" s="1">
        <f t="shared" si="54"/>
        <v>0.88423756929779651</v>
      </c>
      <c r="AH47" s="1">
        <f t="shared" si="24"/>
        <v>0.57599219498752952</v>
      </c>
      <c r="AI47" s="1">
        <f t="shared" si="25"/>
        <v>-0.39544741130812594</v>
      </c>
      <c r="AJ47" s="1">
        <f t="shared" si="26"/>
        <v>-0.27818286843969203</v>
      </c>
      <c r="AK47" s="1">
        <f t="shared" si="27"/>
        <v>-0.43591392912034521</v>
      </c>
      <c r="AL47" s="1">
        <f t="shared" si="28"/>
        <v>81.551343109732699</v>
      </c>
      <c r="AM47" s="1">
        <f t="shared" si="29"/>
        <v>126.30961061603243</v>
      </c>
      <c r="AN47" s="1">
        <f t="shared" si="30"/>
        <v>9.9968955663304424</v>
      </c>
      <c r="AO47" s="1">
        <f t="shared" si="55"/>
        <v>0</v>
      </c>
      <c r="AP47" s="1">
        <f t="shared" si="31"/>
        <v>81.551343109732699</v>
      </c>
      <c r="AQ47" s="1">
        <f t="shared" si="32"/>
        <v>47.083689897179703</v>
      </c>
      <c r="AR47" s="1">
        <f t="shared" si="33"/>
        <v>9.9968955663304424</v>
      </c>
      <c r="AT47" s="1">
        <v>0.544004335517976</v>
      </c>
      <c r="AU47" s="1">
        <v>3.9941386068094298</v>
      </c>
      <c r="AV47" s="1">
        <v>3.3211420115293003E-2</v>
      </c>
      <c r="AW47" s="1">
        <f t="shared" si="34"/>
        <v>-7.7432059015015466E-3</v>
      </c>
      <c r="AX47" s="1">
        <f t="shared" si="35"/>
        <v>5.2777625646232185</v>
      </c>
      <c r="AY47" s="1">
        <f t="shared" si="36"/>
        <v>-9.8551311254584575E-3</v>
      </c>
      <c r="AZ47" s="1">
        <f t="shared" si="56"/>
        <v>1.416840344800119</v>
      </c>
      <c r="BA47" s="1">
        <f t="shared" si="57"/>
        <v>3.8531790139215985</v>
      </c>
      <c r="BB47" s="1">
        <f t="shared" si="58"/>
        <v>-2.3452725659308498</v>
      </c>
      <c r="BC47" s="1">
        <f t="shared" si="37"/>
        <v>1.5810058076165152</v>
      </c>
      <c r="BD47" s="1">
        <f t="shared" si="38"/>
        <v>-0.60700120601936147</v>
      </c>
      <c r="BE47" s="1">
        <f t="shared" si="39"/>
        <v>1.5271343410897982</v>
      </c>
      <c r="BF47" s="1">
        <f t="shared" si="40"/>
        <v>0.99727611299226115</v>
      </c>
      <c r="BG47" s="1">
        <f t="shared" si="41"/>
        <v>57.562450198286768</v>
      </c>
      <c r="BH47" s="1">
        <f t="shared" si="42"/>
        <v>-18.865524732327625</v>
      </c>
      <c r="BI47" s="1">
        <f t="shared" si="43"/>
        <v>20.159372063598525</v>
      </c>
      <c r="BJ47" s="1">
        <f t="shared" si="59"/>
        <v>3.3211420115293003E-2</v>
      </c>
      <c r="BK47" s="1">
        <f t="shared" si="44"/>
        <v>57.562450198286768</v>
      </c>
      <c r="BL47" s="1">
        <f t="shared" si="45"/>
        <v>-18.865524732327625</v>
      </c>
      <c r="BM47" s="1">
        <f t="shared" si="46"/>
        <v>20.159372063598525</v>
      </c>
      <c r="BP47" s="1">
        <f t="shared" ref="BP47:BX47" si="73">BQ32</f>
        <v>9.659258262890684E-2</v>
      </c>
      <c r="BQ47" s="1">
        <f t="shared" si="73"/>
        <v>0</v>
      </c>
      <c r="BR47" s="1">
        <f t="shared" si="73"/>
        <v>0.25881904510252074</v>
      </c>
      <c r="BS47" s="1">
        <f t="shared" si="73"/>
        <v>9.659258262890684E-2</v>
      </c>
      <c r="BT47" s="1">
        <f t="shared" si="73"/>
        <v>0</v>
      </c>
      <c r="BU47" s="1">
        <f t="shared" si="73"/>
        <v>0.25881904510252074</v>
      </c>
      <c r="BV47" s="1">
        <f t="shared" si="73"/>
        <v>9.659258262890684E-2</v>
      </c>
      <c r="BW47" s="1">
        <f t="shared" si="73"/>
        <v>0</v>
      </c>
      <c r="BX47" s="1">
        <f t="shared" si="73"/>
        <v>0.25881904510252074</v>
      </c>
      <c r="CA47" s="79">
        <f>N0a*nza+N0b*nzb+N0c*nzc+S0a*mza+S0b*mzb+S0c*mzc+T0a*kza+T0b*kzb+T0c*kzc-Fta*nza-Ftb*nzb-Ftc*nzc+W</f>
        <v>4574.1974404023777</v>
      </c>
      <c r="CC47" s="19">
        <v>2284.8798088462381</v>
      </c>
      <c r="CD47" t="s">
        <v>309</v>
      </c>
      <c r="CE47" s="1">
        <f>(CC51*mxc+CC52*kxc-CC53*nxc)/SQRT(CC51^2+CC52^2+CC53^2)</f>
        <v>-1.0486840641711324E-3</v>
      </c>
      <c r="CF47" s="1">
        <f>(CC51*myc+CC52*kyc-CC53*nyc)/SQRT(CC51^2+CC52^2+CC53^2)</f>
        <v>-4.033753653138189E-2</v>
      </c>
      <c r="CG47" s="1">
        <f>(CC51*mzc+CC52*kzc-CC53*nzc)/SQRT(CC51^2+CC52^2+CC53^2)</f>
        <v>-0.99918556004793868</v>
      </c>
      <c r="CH47" s="3" t="str">
        <f>IF(AND(CE47*nxa+CF47*nya+CG47*nza&lt;=0,CE47*nxb+CF47*nyb+CG47*nzb&lt;=0,CE47*nxc+CF47*nyc+CG47*nzc&lt;=0),"ok","wrong")</f>
        <v>ok</v>
      </c>
    </row>
    <row r="48" spans="4:86" x14ac:dyDescent="0.25">
      <c r="D48" s="1">
        <v>1.52117118417714</v>
      </c>
      <c r="E48" s="14">
        <v>4.6625288245763299</v>
      </c>
      <c r="F48" s="1">
        <v>0.18629750336183201</v>
      </c>
      <c r="G48" s="1">
        <f t="shared" si="8"/>
        <v>0.16343335109729124</v>
      </c>
      <c r="H48" s="1">
        <f t="shared" si="9"/>
        <v>0.57818368983268886</v>
      </c>
      <c r="I48" s="1">
        <f t="shared" si="10"/>
        <v>7.9303158284999536E-2</v>
      </c>
      <c r="J48" s="1">
        <f t="shared" si="48"/>
        <v>0.56930519579393557</v>
      </c>
      <c r="K48" s="1">
        <f t="shared" si="49"/>
        <v>0.17231184513604447</v>
      </c>
      <c r="L48" s="1">
        <f t="shared" si="50"/>
        <v>-9.9461156576890003E-2</v>
      </c>
      <c r="M48" s="1">
        <f t="shared" si="11"/>
        <v>0.22248511227899401</v>
      </c>
      <c r="N48" s="1">
        <f t="shared" si="12"/>
        <v>0.45049063651424903</v>
      </c>
      <c r="O48" s="1">
        <f t="shared" si="13"/>
        <v>-0.10745205795755167</v>
      </c>
      <c r="P48" s="1">
        <f t="shared" si="14"/>
        <v>-3.8603291847222929E-2</v>
      </c>
      <c r="Q48" s="16">
        <f t="shared" si="15"/>
        <v>78.011493427079202</v>
      </c>
      <c r="R48" s="1">
        <f t="shared" si="16"/>
        <v>28.348509153858522</v>
      </c>
      <c r="S48" s="1">
        <f t="shared" si="17"/>
        <v>24.626500489660543</v>
      </c>
      <c r="T48" s="1">
        <f t="shared" si="51"/>
        <v>0.18629750336183201</v>
      </c>
      <c r="U48" s="1">
        <f t="shared" si="18"/>
        <v>78.011493427079202</v>
      </c>
      <c r="V48" s="1">
        <f t="shared" si="19"/>
        <v>28.348509153858522</v>
      </c>
      <c r="W48" s="1">
        <f t="shared" si="20"/>
        <v>24.626500489660543</v>
      </c>
      <c r="Y48" s="1">
        <v>2.2141996695253998</v>
      </c>
      <c r="Z48" s="1">
        <v>4.3104513548195396</v>
      </c>
      <c r="AA48" s="1">
        <v>0.17216154806367601</v>
      </c>
      <c r="AB48" s="1">
        <f t="shared" si="21"/>
        <v>0.18547964284701762</v>
      </c>
      <c r="AC48" s="1">
        <f t="shared" si="22"/>
        <v>2.4124772600805735</v>
      </c>
      <c r="AD48" s="1">
        <f t="shared" si="23"/>
        <v>-0.45138713187697871</v>
      </c>
      <c r="AE48" s="1">
        <f t="shared" si="52"/>
        <v>1.1776602023859444</v>
      </c>
      <c r="AF48" s="1">
        <f t="shared" si="53"/>
        <v>1.4202967005416467</v>
      </c>
      <c r="AG48" s="1">
        <f t="shared" si="54"/>
        <v>1.1953709976638187</v>
      </c>
      <c r="AH48" s="1">
        <f t="shared" si="24"/>
        <v>0.77938707087827741</v>
      </c>
      <c r="AI48" s="1">
        <f t="shared" si="25"/>
        <v>-0.67574717940041151</v>
      </c>
      <c r="AJ48" s="1">
        <f t="shared" si="26"/>
        <v>-0.3764150502185587</v>
      </c>
      <c r="AK48" s="1">
        <f t="shared" si="27"/>
        <v>-0.63234749276466329</v>
      </c>
      <c r="AL48" s="1">
        <f t="shared" si="28"/>
        <v>100.43981631131042</v>
      </c>
      <c r="AM48" s="1">
        <f t="shared" si="29"/>
        <v>139.6190648868261</v>
      </c>
      <c r="AN48" s="1">
        <f t="shared" si="30"/>
        <v>-2.0467587205072753</v>
      </c>
      <c r="AO48" s="1">
        <f t="shared" si="55"/>
        <v>0</v>
      </c>
      <c r="AP48" s="1">
        <f t="shared" si="31"/>
        <v>100.43981631131042</v>
      </c>
      <c r="AQ48" s="1">
        <f t="shared" si="32"/>
        <v>57.988954984691631</v>
      </c>
      <c r="AR48" s="1">
        <f t="shared" si="33"/>
        <v>-2.0467587205072753</v>
      </c>
      <c r="AT48" s="1">
        <v>0.79070915689376198</v>
      </c>
      <c r="AU48" s="1">
        <v>4.0700535588059603</v>
      </c>
      <c r="AV48" s="1">
        <v>6.8465792609510995E-2</v>
      </c>
      <c r="AW48" s="1">
        <f t="shared" si="34"/>
        <v>5.9243977595898029E-2</v>
      </c>
      <c r="AX48" s="1">
        <f t="shared" si="35"/>
        <v>3.4119759038370794</v>
      </c>
      <c r="AY48" s="1">
        <f t="shared" si="36"/>
        <v>0.12569350772021484</v>
      </c>
      <c r="AZ48" s="1">
        <f t="shared" si="56"/>
        <v>1.627729526334577</v>
      </c>
      <c r="BA48" s="1">
        <f t="shared" si="57"/>
        <v>1.8434903550984005</v>
      </c>
      <c r="BB48" s="1">
        <f t="shared" si="58"/>
        <v>-1.6776064843654559</v>
      </c>
      <c r="BC48" s="1">
        <f t="shared" si="37"/>
        <v>1.0413659644298934</v>
      </c>
      <c r="BD48" s="1">
        <f t="shared" si="38"/>
        <v>-0.43419650834126455</v>
      </c>
      <c r="BE48" s="1">
        <f t="shared" si="39"/>
        <v>1.0058822796612572</v>
      </c>
      <c r="BF48" s="1">
        <f t="shared" si="40"/>
        <v>0.4771304133622753</v>
      </c>
      <c r="BG48" s="1">
        <f t="shared" si="41"/>
        <v>74.97676009366198</v>
      </c>
      <c r="BH48" s="1">
        <f t="shared" si="42"/>
        <v>-13.729520544635124</v>
      </c>
      <c r="BI48" s="1">
        <f t="shared" si="43"/>
        <v>29.727608091866816</v>
      </c>
      <c r="BJ48" s="1">
        <f t="shared" si="59"/>
        <v>6.8465792609510995E-2</v>
      </c>
      <c r="BK48" s="1">
        <f t="shared" si="44"/>
        <v>74.97676009366198</v>
      </c>
      <c r="BL48" s="1">
        <f t="shared" si="45"/>
        <v>-13.729520544635124</v>
      </c>
      <c r="BM48" s="1">
        <f t="shared" si="46"/>
        <v>29.727608091866816</v>
      </c>
      <c r="BP48" s="1">
        <f t="shared" ref="BP48:BX48" si="74">BQ33</f>
        <v>0.22414386804201339</v>
      </c>
      <c r="BQ48" s="1">
        <f t="shared" si="74"/>
        <v>0.49999999999999978</v>
      </c>
      <c r="BR48" s="1">
        <f t="shared" si="74"/>
        <v>-0.83651630373780794</v>
      </c>
      <c r="BS48" s="1">
        <f t="shared" si="74"/>
        <v>0.22414386804201328</v>
      </c>
      <c r="BT48" s="1">
        <f t="shared" si="74"/>
        <v>-0.50000000000000044</v>
      </c>
      <c r="BU48" s="1">
        <f t="shared" si="74"/>
        <v>-0.83651630373780761</v>
      </c>
      <c r="BV48" s="1">
        <f t="shared" si="74"/>
        <v>0</v>
      </c>
      <c r="BW48" s="1">
        <f t="shared" si="74"/>
        <v>0</v>
      </c>
      <c r="BX48" s="1">
        <f t="shared" si="74"/>
        <v>0</v>
      </c>
      <c r="CA48">
        <v>0</v>
      </c>
      <c r="CC48" s="19">
        <v>9240.2276153270868</v>
      </c>
    </row>
    <row r="49" spans="4:85" x14ac:dyDescent="0.25">
      <c r="D49" s="1">
        <v>0.99102190015698299</v>
      </c>
      <c r="E49" s="14">
        <v>4.6040411608682499</v>
      </c>
      <c r="F49" s="1">
        <v>0.20226863599875</v>
      </c>
      <c r="G49" s="1">
        <f t="shared" si="8"/>
        <v>0.31318045564731711</v>
      </c>
      <c r="H49" s="1">
        <f t="shared" si="9"/>
        <v>2.0562409175807663</v>
      </c>
      <c r="I49" s="1">
        <f t="shared" si="10"/>
        <v>0.69330319661976303</v>
      </c>
      <c r="J49" s="1">
        <f t="shared" si="48"/>
        <v>0.89761004417161416</v>
      </c>
      <c r="K49" s="1">
        <f t="shared" si="49"/>
        <v>1.4718113290564689</v>
      </c>
      <c r="L49" s="1">
        <f t="shared" si="50"/>
        <v>-1.0760146314252605</v>
      </c>
      <c r="M49" s="1">
        <f t="shared" si="11"/>
        <v>0.71082641196842489</v>
      </c>
      <c r="N49" s="1">
        <f t="shared" si="12"/>
        <v>0.4723723569265425</v>
      </c>
      <c r="O49" s="1">
        <f t="shared" si="13"/>
        <v>-0.3433027946643471</v>
      </c>
      <c r="P49" s="1">
        <f t="shared" si="14"/>
        <v>-0.51917097949019153</v>
      </c>
      <c r="Q49" s="16">
        <f t="shared" si="15"/>
        <v>86.283422750573209</v>
      </c>
      <c r="R49" s="1">
        <f t="shared" si="16"/>
        <v>131.83600178217714</v>
      </c>
      <c r="S49" s="1">
        <f t="shared" si="17"/>
        <v>-12.363217881521436</v>
      </c>
      <c r="T49" s="1">
        <f t="shared" si="51"/>
        <v>0</v>
      </c>
      <c r="U49" s="1">
        <f t="shared" si="18"/>
        <v>86.283422750573209</v>
      </c>
      <c r="V49" s="1">
        <f t="shared" si="19"/>
        <v>49.815757351645722</v>
      </c>
      <c r="W49" s="1">
        <f t="shared" si="20"/>
        <v>-12.363217881521436</v>
      </c>
      <c r="Y49" s="1">
        <v>1.6159778939106599</v>
      </c>
      <c r="Z49" s="1">
        <v>4.3558895094513099</v>
      </c>
      <c r="AA49" s="1">
        <v>0.15985161229828199</v>
      </c>
      <c r="AB49" s="1">
        <f t="shared" si="21"/>
        <v>4.9406215373491214E-2</v>
      </c>
      <c r="AC49" s="1">
        <f t="shared" si="22"/>
        <v>0.28604109826833257</v>
      </c>
      <c r="AD49" s="1">
        <f t="shared" si="23"/>
        <v>-4.717773850287308E-2</v>
      </c>
      <c r="AE49" s="1">
        <f t="shared" si="52"/>
        <v>0.28130103765625497</v>
      </c>
      <c r="AF49" s="1">
        <f t="shared" si="53"/>
        <v>5.4146275985568842E-2</v>
      </c>
      <c r="AG49" s="1">
        <f t="shared" si="54"/>
        <v>5.7662245217236757E-2</v>
      </c>
      <c r="AH49" s="1">
        <f t="shared" si="24"/>
        <v>0.10063419409254713</v>
      </c>
      <c r="AI49" s="1">
        <f t="shared" si="25"/>
        <v>-0.22038881701222762</v>
      </c>
      <c r="AJ49" s="1">
        <f t="shared" si="26"/>
        <v>-4.8602583540889081E-2</v>
      </c>
      <c r="AK49" s="1">
        <f t="shared" si="27"/>
        <v>-3.4221320787903492E-2</v>
      </c>
      <c r="AL49" s="1">
        <f t="shared" si="28"/>
        <v>31.806467260943972</v>
      </c>
      <c r="AM49" s="1">
        <f t="shared" si="29"/>
        <v>14.18582298407717</v>
      </c>
      <c r="AN49" s="1">
        <f t="shared" si="30"/>
        <v>-10.886428137645632</v>
      </c>
      <c r="AO49" s="1">
        <f t="shared" si="55"/>
        <v>0.15985161229828199</v>
      </c>
      <c r="AP49" s="1">
        <f t="shared" si="31"/>
        <v>31.806467260943972</v>
      </c>
      <c r="AQ49" s="1">
        <f t="shared" si="32"/>
        <v>14.18582298407717</v>
      </c>
      <c r="AR49" s="1">
        <f t="shared" si="33"/>
        <v>-10.886428137645632</v>
      </c>
      <c r="AT49" s="1">
        <v>2.2263513633465899</v>
      </c>
      <c r="AU49" s="1">
        <v>4.1698780639924102</v>
      </c>
      <c r="AV49" s="1">
        <v>0.109556974611612</v>
      </c>
      <c r="AW49" s="1">
        <f t="shared" si="34"/>
        <v>0.10598333300141219</v>
      </c>
      <c r="AX49" s="1">
        <f t="shared" si="35"/>
        <v>2.5108720939455735</v>
      </c>
      <c r="AY49" s="1">
        <f t="shared" si="36"/>
        <v>-0.27414301436984839</v>
      </c>
      <c r="AZ49" s="1">
        <f t="shared" si="56"/>
        <v>1.3522370200606295</v>
      </c>
      <c r="BA49" s="1">
        <f t="shared" si="57"/>
        <v>1.2646184068863562</v>
      </c>
      <c r="BB49" s="1">
        <f t="shared" si="58"/>
        <v>1.2325208416546256</v>
      </c>
      <c r="BC49" s="1">
        <f t="shared" si="37"/>
        <v>0.7850566280840956</v>
      </c>
      <c r="BD49" s="1">
        <f t="shared" si="38"/>
        <v>0.31899986730600505</v>
      </c>
      <c r="BE49" s="1">
        <f t="shared" si="39"/>
        <v>0.7583064721658398</v>
      </c>
      <c r="BF49" s="1">
        <f t="shared" si="40"/>
        <v>0.32730732848939748</v>
      </c>
      <c r="BG49" s="1">
        <f t="shared" si="41"/>
        <v>89.527897343554088</v>
      </c>
      <c r="BH49" s="1">
        <f t="shared" si="42"/>
        <v>-13.134834406234663</v>
      </c>
      <c r="BI49" s="1">
        <f t="shared" si="43"/>
        <v>-34.94866036355161</v>
      </c>
      <c r="BJ49" s="1">
        <f t="shared" si="59"/>
        <v>0.109556974611612</v>
      </c>
      <c r="BK49" s="1">
        <f t="shared" si="44"/>
        <v>89.527897343554088</v>
      </c>
      <c r="BL49" s="1">
        <f t="shared" si="45"/>
        <v>-13.134834406234663</v>
      </c>
      <c r="BM49" s="1">
        <f t="shared" si="46"/>
        <v>-34.94866036355161</v>
      </c>
      <c r="BP49" s="1">
        <f t="shared" ref="BP49:BX49" si="75">BQ34</f>
        <v>-0.12940952255126031</v>
      </c>
      <c r="BQ49" s="1">
        <f t="shared" si="75"/>
        <v>0.86602540378443871</v>
      </c>
      <c r="BR49" s="1">
        <f t="shared" si="75"/>
        <v>0.48296291314453393</v>
      </c>
      <c r="BS49" s="1">
        <f t="shared" si="75"/>
        <v>0.12940952255126048</v>
      </c>
      <c r="BT49" s="1">
        <f t="shared" si="75"/>
        <v>0.86602540378443837</v>
      </c>
      <c r="BU49" s="1">
        <f t="shared" si="75"/>
        <v>-0.4829629131445346</v>
      </c>
      <c r="BV49" s="1">
        <f t="shared" si="75"/>
        <v>0</v>
      </c>
      <c r="BW49" s="1">
        <f t="shared" si="75"/>
        <v>0</v>
      </c>
      <c r="BX49" s="1">
        <f t="shared" si="75"/>
        <v>0</v>
      </c>
      <c r="CA49">
        <v>0</v>
      </c>
      <c r="CC49" s="19">
        <v>327.57961603079633</v>
      </c>
      <c r="CE49" s="3" t="s">
        <v>316</v>
      </c>
      <c r="CF49" s="81">
        <f>N0a-1*(CC47-CC45*TAN(i_1))</f>
        <v>8255.9884947814789</v>
      </c>
      <c r="CG49" s="16"/>
    </row>
    <row r="50" spans="4:85" x14ac:dyDescent="0.25">
      <c r="D50" s="1">
        <v>0.93247091011208405</v>
      </c>
      <c r="E50" s="14">
        <v>4.1122098116268697</v>
      </c>
      <c r="F50" s="1">
        <v>0.123680236205823</v>
      </c>
      <c r="G50" s="1">
        <f t="shared" si="8"/>
        <v>6.7356239148859298E-2</v>
      </c>
      <c r="H50" s="1">
        <f t="shared" si="9"/>
        <v>2.4057299720082561</v>
      </c>
      <c r="I50" s="1">
        <f t="shared" si="10"/>
        <v>0.18687400872801174</v>
      </c>
      <c r="J50" s="1">
        <f t="shared" si="48"/>
        <v>1.3966684626420962</v>
      </c>
      <c r="K50" s="1">
        <f t="shared" si="49"/>
        <v>1.076417748515019</v>
      </c>
      <c r="L50" s="1">
        <f t="shared" si="50"/>
        <v>-1.1731494763221986</v>
      </c>
      <c r="M50" s="1">
        <f t="shared" si="11"/>
        <v>0.74192586334713451</v>
      </c>
      <c r="N50" s="1">
        <f t="shared" si="12"/>
        <v>0.86470251269229925</v>
      </c>
      <c r="O50" s="1">
        <f t="shared" si="13"/>
        <v>-0.35832267629940545</v>
      </c>
      <c r="P50" s="1">
        <f t="shared" si="14"/>
        <v>-0.70276124986292809</v>
      </c>
      <c r="Q50" s="16">
        <f t="shared" si="15"/>
        <v>88.370310145777367</v>
      </c>
      <c r="R50" s="1">
        <f t="shared" si="16"/>
        <v>113.66255428585445</v>
      </c>
      <c r="S50" s="1">
        <f t="shared" si="17"/>
        <v>15.093282490152161</v>
      </c>
      <c r="T50" s="1">
        <f t="shared" si="51"/>
        <v>0</v>
      </c>
      <c r="U50" s="1">
        <f t="shared" si="18"/>
        <v>88.370310145777367</v>
      </c>
      <c r="V50" s="1">
        <f t="shared" si="19"/>
        <v>51.020622351035279</v>
      </c>
      <c r="W50" s="1">
        <f t="shared" si="20"/>
        <v>15.093282490152161</v>
      </c>
      <c r="Y50" s="1">
        <v>1.7215439479505401</v>
      </c>
      <c r="Z50" s="1">
        <v>4.1401995578587698</v>
      </c>
      <c r="AA50" s="1">
        <v>0.118736470010503</v>
      </c>
      <c r="AB50" s="1">
        <f t="shared" si="21"/>
        <v>8.687900112854835E-3</v>
      </c>
      <c r="AC50" s="1">
        <f t="shared" si="22"/>
        <v>0.13213227290403662</v>
      </c>
      <c r="AD50" s="1">
        <f t="shared" si="23"/>
        <v>-7.1001153528854222E-2</v>
      </c>
      <c r="AE50" s="1">
        <f t="shared" si="52"/>
        <v>0.10826452966018701</v>
      </c>
      <c r="AF50" s="1">
        <f t="shared" si="53"/>
        <v>3.2555643356704425E-2</v>
      </c>
      <c r="AG50" s="1">
        <f t="shared" si="54"/>
        <v>8.6126843838327083E-2</v>
      </c>
      <c r="AH50" s="1">
        <f t="shared" si="24"/>
        <v>4.2246051905067424E-2</v>
      </c>
      <c r="AI50" s="1">
        <f t="shared" si="25"/>
        <v>-6.8273776697322139E-2</v>
      </c>
      <c r="AJ50" s="1">
        <f t="shared" si="26"/>
        <v>-2.0403276296926579E-2</v>
      </c>
      <c r="AK50" s="1">
        <f t="shared" si="27"/>
        <v>-6.3620488533960268E-2</v>
      </c>
      <c r="AL50" s="1">
        <f t="shared" si="28"/>
        <v>5.9961868663621338</v>
      </c>
      <c r="AM50" s="1">
        <f t="shared" si="29"/>
        <v>9.4272244721502396</v>
      </c>
      <c r="AN50" s="1">
        <f t="shared" si="30"/>
        <v>-1.9552492145336913</v>
      </c>
      <c r="AO50" s="1">
        <f t="shared" si="55"/>
        <v>0</v>
      </c>
      <c r="AP50" s="1">
        <f t="shared" si="31"/>
        <v>5.9961868663621338</v>
      </c>
      <c r="AQ50" s="1">
        <f t="shared" si="32"/>
        <v>3.4619001014054764</v>
      </c>
      <c r="AR50" s="1">
        <f t="shared" si="33"/>
        <v>-1.9552492145336913</v>
      </c>
      <c r="AT50" s="1">
        <v>2.2842001699263199</v>
      </c>
      <c r="AU50" s="1">
        <v>4.2483615555227896</v>
      </c>
      <c r="AV50" s="1">
        <v>0.140381114616172</v>
      </c>
      <c r="AW50" s="1">
        <f t="shared" si="34"/>
        <v>0.17365734163554269</v>
      </c>
      <c r="AX50" s="1">
        <f t="shared" si="35"/>
        <v>2.8555084581061072</v>
      </c>
      <c r="AY50" s="1">
        <f t="shared" si="36"/>
        <v>-0.38845771268278245</v>
      </c>
      <c r="AZ50" s="1">
        <f t="shared" si="56"/>
        <v>1.3225566957813142</v>
      </c>
      <c r="BA50" s="1">
        <f t="shared" si="57"/>
        <v>1.7066091039603357</v>
      </c>
      <c r="BB50" s="1">
        <f t="shared" si="58"/>
        <v>1.3827894576595225</v>
      </c>
      <c r="BC50" s="1">
        <f t="shared" si="37"/>
        <v>0.90874973992249486</v>
      </c>
      <c r="BD50" s="1">
        <f t="shared" si="38"/>
        <v>0.3578922470092698</v>
      </c>
      <c r="BE50" s="1">
        <f t="shared" si="39"/>
        <v>0.87778484342461183</v>
      </c>
      <c r="BF50" s="1">
        <f t="shared" si="40"/>
        <v>0.44170293865028232</v>
      </c>
      <c r="BG50" s="1">
        <f t="shared" si="41"/>
        <v>135.07417264747562</v>
      </c>
      <c r="BH50" s="1">
        <f t="shared" si="42"/>
        <v>-28.00109670764552</v>
      </c>
      <c r="BI50" s="1">
        <f t="shared" si="43"/>
        <v>-50.241312547647681</v>
      </c>
      <c r="BJ50" s="1">
        <f t="shared" si="59"/>
        <v>0.140381114616172</v>
      </c>
      <c r="BK50" s="1">
        <f t="shared" si="44"/>
        <v>135.07417264747562</v>
      </c>
      <c r="BL50" s="1">
        <f t="shared" si="45"/>
        <v>-28.00109670764552</v>
      </c>
      <c r="BM50" s="1">
        <f t="shared" si="46"/>
        <v>-50.241312547647681</v>
      </c>
      <c r="BP50" s="1">
        <f t="shared" ref="BP50:BX50" si="76">BQ35</f>
        <v>-0.96592582628906831</v>
      </c>
      <c r="BQ50" s="1">
        <f t="shared" si="76"/>
        <v>0</v>
      </c>
      <c r="BR50" s="1">
        <f t="shared" si="76"/>
        <v>-0.25881904510252074</v>
      </c>
      <c r="BS50" s="1">
        <f t="shared" si="76"/>
        <v>0.96592582628906831</v>
      </c>
      <c r="BT50" s="1">
        <f t="shared" si="76"/>
        <v>0</v>
      </c>
      <c r="BU50" s="1">
        <f t="shared" si="76"/>
        <v>0.25881904510252074</v>
      </c>
      <c r="BV50" s="1">
        <f t="shared" si="76"/>
        <v>0</v>
      </c>
      <c r="BW50" s="1">
        <f t="shared" si="76"/>
        <v>0</v>
      </c>
      <c r="BX50" s="1">
        <f t="shared" si="76"/>
        <v>0</v>
      </c>
      <c r="CA50">
        <v>0</v>
      </c>
      <c r="CC50" s="19">
        <v>2268.1768263156782</v>
      </c>
      <c r="CE50" s="3" t="s">
        <v>317</v>
      </c>
      <c r="CF50" s="81">
        <f>N0b-1*(CC50-CC48*TAN(i_1))</f>
        <v>8260.9855717130195</v>
      </c>
    </row>
    <row r="51" spans="4:85" x14ac:dyDescent="0.25">
      <c r="D51" s="1">
        <v>1.3777823371625899</v>
      </c>
      <c r="E51" s="14">
        <v>6.6235516997608999</v>
      </c>
      <c r="F51" s="1">
        <v>0.24757736037609299</v>
      </c>
      <c r="G51" s="1">
        <f t="shared" si="8"/>
        <v>1.0626084163294856</v>
      </c>
      <c r="H51" s="1">
        <f t="shared" si="9"/>
        <v>1.1702647343590156</v>
      </c>
      <c r="I51" s="1">
        <f t="shared" si="10"/>
        <v>0.4733543778340184</v>
      </c>
      <c r="J51" s="1">
        <f t="shared" si="48"/>
        <v>0.9880801749018393</v>
      </c>
      <c r="K51" s="1">
        <f t="shared" si="49"/>
        <v>1.244792975786662</v>
      </c>
      <c r="L51" s="1">
        <f t="shared" si="50"/>
        <v>-0.45878804712308802</v>
      </c>
      <c r="M51" s="1">
        <f t="shared" si="11"/>
        <v>0.6698619452065504</v>
      </c>
      <c r="N51" s="1">
        <f t="shared" si="12"/>
        <v>0.70780209144464545</v>
      </c>
      <c r="O51" s="1">
        <f t="shared" si="13"/>
        <v>-0.32351847646161974</v>
      </c>
      <c r="P51" s="1">
        <f t="shared" si="14"/>
        <v>-6.160755203506374E-2</v>
      </c>
      <c r="Q51" s="16">
        <f t="shared" si="15"/>
        <v>181.32323430654105</v>
      </c>
      <c r="R51" s="1">
        <f t="shared" si="16"/>
        <v>64.376104021453486</v>
      </c>
      <c r="S51" s="1">
        <f t="shared" si="17"/>
        <v>18.252845519614983</v>
      </c>
      <c r="T51" s="1">
        <f t="shared" si="51"/>
        <v>0.24757736037609299</v>
      </c>
      <c r="U51" s="1">
        <f t="shared" si="18"/>
        <v>181.32323430654105</v>
      </c>
      <c r="V51" s="1">
        <f t="shared" si="19"/>
        <v>64.376104021453486</v>
      </c>
      <c r="W51" s="1">
        <f t="shared" si="20"/>
        <v>18.252845519614983</v>
      </c>
      <c r="Y51" s="1">
        <v>1.58683834095976</v>
      </c>
      <c r="Z51" s="1">
        <v>7.6988064732522696</v>
      </c>
      <c r="AA51" s="1">
        <v>0.26378741928104399</v>
      </c>
      <c r="AB51" s="1">
        <f t="shared" si="21"/>
        <v>1.412379466749331</v>
      </c>
      <c r="AC51" s="1">
        <f t="shared" si="22"/>
        <v>1.0777585329053243</v>
      </c>
      <c r="AD51" s="1">
        <f t="shared" si="23"/>
        <v>-4.0053510516172508E-2</v>
      </c>
      <c r="AE51" s="1">
        <f t="shared" si="52"/>
        <v>1.0765597814463834</v>
      </c>
      <c r="AF51" s="1">
        <f t="shared" si="53"/>
        <v>1.4135782182082719</v>
      </c>
      <c r="AG51" s="1">
        <f t="shared" si="54"/>
        <v>3.4665824192872827E-2</v>
      </c>
      <c r="AH51" s="1">
        <f t="shared" si="24"/>
        <v>0.74704139989639662</v>
      </c>
      <c r="AI51" s="1">
        <f t="shared" si="25"/>
        <v>-0.89158763361301951</v>
      </c>
      <c r="AJ51" s="1">
        <f t="shared" si="26"/>
        <v>-0.36079329073353494</v>
      </c>
      <c r="AK51" s="1">
        <f t="shared" si="27"/>
        <v>0.33686243749454098</v>
      </c>
      <c r="AL51" s="1">
        <f t="shared" si="28"/>
        <v>265.70351434537997</v>
      </c>
      <c r="AM51" s="1">
        <f t="shared" si="29"/>
        <v>-20.799674912242441</v>
      </c>
      <c r="AN51" s="1">
        <f t="shared" si="30"/>
        <v>-35.172797624350011</v>
      </c>
      <c r="AO51" s="1">
        <f t="shared" si="55"/>
        <v>0.26378741928104399</v>
      </c>
      <c r="AP51" s="1">
        <f t="shared" si="31"/>
        <v>265.70351434537997</v>
      </c>
      <c r="AQ51" s="1">
        <f t="shared" si="32"/>
        <v>-20.799674912242441</v>
      </c>
      <c r="AR51" s="1">
        <f t="shared" si="33"/>
        <v>-35.172797624350011</v>
      </c>
      <c r="AT51" s="1">
        <v>2.59758831807182</v>
      </c>
      <c r="AU51" s="1">
        <v>3.9941386068094298</v>
      </c>
      <c r="AV51" s="1">
        <v>3.3211420115294002E-2</v>
      </c>
      <c r="AW51" s="1">
        <f t="shared" si="34"/>
        <v>-7.7432059015015743E-3</v>
      </c>
      <c r="AX51" s="1">
        <f t="shared" si="35"/>
        <v>5.2777625646232371</v>
      </c>
      <c r="AY51" s="1">
        <f t="shared" si="36"/>
        <v>9.855131125458428E-3</v>
      </c>
      <c r="AZ51" s="1">
        <f t="shared" si="56"/>
        <v>1.4168403448001106</v>
      </c>
      <c r="BA51" s="1">
        <f t="shared" si="57"/>
        <v>3.8531790139216247</v>
      </c>
      <c r="BB51" s="1">
        <f t="shared" si="58"/>
        <v>2.3452725659308515</v>
      </c>
      <c r="BC51" s="1">
        <f t="shared" si="37"/>
        <v>1.5810058076165205</v>
      </c>
      <c r="BD51" s="1">
        <f t="shared" si="38"/>
        <v>0.60700120601936125</v>
      </c>
      <c r="BE51" s="1">
        <f t="shared" si="39"/>
        <v>1.5271343410898033</v>
      </c>
      <c r="BF51" s="1">
        <f t="shared" si="40"/>
        <v>0.99727611299226682</v>
      </c>
      <c r="BG51" s="1">
        <f t="shared" si="41"/>
        <v>57.562450198288694</v>
      </c>
      <c r="BH51" s="1">
        <f t="shared" si="42"/>
        <v>-18.865524732328335</v>
      </c>
      <c r="BI51" s="1">
        <f t="shared" si="43"/>
        <v>-20.159372063599147</v>
      </c>
      <c r="BJ51" s="1">
        <f t="shared" si="59"/>
        <v>3.3211420115294002E-2</v>
      </c>
      <c r="BK51" s="1">
        <f t="shared" si="44"/>
        <v>57.562450198288694</v>
      </c>
      <c r="BL51" s="1">
        <f t="shared" si="45"/>
        <v>-18.865524732328335</v>
      </c>
      <c r="BM51" s="1">
        <f t="shared" si="46"/>
        <v>-20.159372063599147</v>
      </c>
      <c r="BP51" s="1">
        <f t="shared" ref="BP51:BX51" si="77">BQ36</f>
        <v>0.22414386804201339</v>
      </c>
      <c r="BQ51" s="1">
        <f t="shared" si="77"/>
        <v>0.49999999999999978</v>
      </c>
      <c r="BR51" s="1">
        <f t="shared" si="77"/>
        <v>-0.83651630373780794</v>
      </c>
      <c r="BS51" s="1">
        <f t="shared" si="77"/>
        <v>0</v>
      </c>
      <c r="BT51" s="1">
        <f t="shared" si="77"/>
        <v>0</v>
      </c>
      <c r="BU51" s="1">
        <f t="shared" si="77"/>
        <v>0</v>
      </c>
      <c r="BV51" s="1">
        <f t="shared" si="77"/>
        <v>6.3418350641655545E-17</v>
      </c>
      <c r="BW51" s="1">
        <f t="shared" si="77"/>
        <v>1</v>
      </c>
      <c r="BX51" s="1">
        <f t="shared" si="77"/>
        <v>-2.3668050672687681E-16</v>
      </c>
      <c r="CA51">
        <v>0</v>
      </c>
      <c r="CC51" s="19">
        <v>9088.9021401891114</v>
      </c>
      <c r="CE51" s="3" t="s">
        <v>318</v>
      </c>
      <c r="CF51" s="81">
        <f>N0c-1*(CC53-CC51*TAN(i_1))</f>
        <v>6986.1424831224103</v>
      </c>
    </row>
    <row r="52" spans="4:85" x14ac:dyDescent="0.25">
      <c r="D52" s="1">
        <v>1.2161016742702599</v>
      </c>
      <c r="E52" s="14">
        <v>4.27780851623797</v>
      </c>
      <c r="F52" s="1">
        <v>0.17535219376861899</v>
      </c>
      <c r="G52" s="1">
        <f t="shared" si="8"/>
        <v>7.4301656555454926E-2</v>
      </c>
      <c r="H52" s="1">
        <f t="shared" si="9"/>
        <v>0.92801082731113871</v>
      </c>
      <c r="I52" s="1">
        <f t="shared" si="10"/>
        <v>0.28025068607469994</v>
      </c>
      <c r="J52" s="1">
        <f t="shared" si="48"/>
        <v>0.64248930878193489</v>
      </c>
      <c r="K52" s="1">
        <f t="shared" si="49"/>
        <v>0.35982317508465878</v>
      </c>
      <c r="L52" s="1">
        <f t="shared" si="50"/>
        <v>-0.49068345021876142</v>
      </c>
      <c r="M52" s="1">
        <f t="shared" si="11"/>
        <v>0.3006937451599781</v>
      </c>
      <c r="N52" s="1">
        <f t="shared" si="12"/>
        <v>0.41045455974009326</v>
      </c>
      <c r="O52" s="1">
        <f t="shared" si="13"/>
        <v>-0.14522392712680313</v>
      </c>
      <c r="P52" s="1">
        <f t="shared" si="14"/>
        <v>-0.31733561550114447</v>
      </c>
      <c r="Q52" s="16">
        <f t="shared" si="15"/>
        <v>58.10421213190412</v>
      </c>
      <c r="R52" s="1">
        <f t="shared" si="16"/>
        <v>73.17743362449562</v>
      </c>
      <c r="S52" s="1">
        <f t="shared" si="17"/>
        <v>13.933427405195886</v>
      </c>
      <c r="T52" s="1">
        <f t="shared" si="51"/>
        <v>0</v>
      </c>
      <c r="U52" s="1">
        <f t="shared" si="18"/>
        <v>58.10421213190412</v>
      </c>
      <c r="V52" s="1">
        <f t="shared" si="19"/>
        <v>33.546482515405962</v>
      </c>
      <c r="W52" s="1">
        <f t="shared" si="20"/>
        <v>13.933427405195886</v>
      </c>
      <c r="Y52" s="1">
        <v>2.1191340021694498</v>
      </c>
      <c r="Z52" s="1">
        <v>4.1984246563048</v>
      </c>
      <c r="AA52" s="1">
        <v>0.19741866025458801</v>
      </c>
      <c r="AB52" s="1">
        <f t="shared" si="21"/>
        <v>9.3356787834755789E-2</v>
      </c>
      <c r="AC52" s="1">
        <f t="shared" si="22"/>
        <v>1.8501315118706811</v>
      </c>
      <c r="AD52" s="1">
        <f t="shared" si="23"/>
        <v>-0.28889117718005053</v>
      </c>
      <c r="AE52" s="1">
        <f t="shared" si="52"/>
        <v>1.1157528035703925</v>
      </c>
      <c r="AF52" s="1">
        <f t="shared" si="53"/>
        <v>0.82773549613504449</v>
      </c>
      <c r="AG52" s="1">
        <f t="shared" si="54"/>
        <v>0.91339147010456245</v>
      </c>
      <c r="AH52" s="1">
        <f t="shared" si="24"/>
        <v>0.58304648991163111</v>
      </c>
      <c r="AI52" s="1">
        <f t="shared" si="25"/>
        <v>-0.69694230303055038</v>
      </c>
      <c r="AJ52" s="1">
        <f t="shared" si="26"/>
        <v>-0.28158983126641685</v>
      </c>
      <c r="AK52" s="1">
        <f t="shared" si="27"/>
        <v>-0.54983314573037734</v>
      </c>
      <c r="AL52" s="1">
        <f t="shared" si="28"/>
        <v>113.85010843525144</v>
      </c>
      <c r="AM52" s="1">
        <f t="shared" si="29"/>
        <v>142.8825025560339</v>
      </c>
      <c r="AN52" s="1">
        <f t="shared" si="30"/>
        <v>-20.651414104401866</v>
      </c>
      <c r="AO52" s="1">
        <f t="shared" si="55"/>
        <v>0</v>
      </c>
      <c r="AP52" s="1">
        <f t="shared" si="31"/>
        <v>113.85010843525144</v>
      </c>
      <c r="AQ52" s="1">
        <f t="shared" si="32"/>
        <v>65.731390752360497</v>
      </c>
      <c r="AR52" s="1">
        <f t="shared" si="33"/>
        <v>-20.651414104401866</v>
      </c>
      <c r="AT52" s="1">
        <v>2.3508834966960301</v>
      </c>
      <c r="AU52" s="1">
        <v>4.0700535588059603</v>
      </c>
      <c r="AV52" s="1">
        <v>6.8465792609511994E-2</v>
      </c>
      <c r="AW52" s="1">
        <f t="shared" si="34"/>
        <v>5.9243977595897897E-2</v>
      </c>
      <c r="AX52" s="1">
        <f t="shared" si="35"/>
        <v>3.4119759038370714</v>
      </c>
      <c r="AY52" s="1">
        <f t="shared" si="36"/>
        <v>-0.12569350772021484</v>
      </c>
      <c r="AZ52" s="1">
        <f t="shared" si="56"/>
        <v>1.6277295263345766</v>
      </c>
      <c r="BA52" s="1">
        <f t="shared" si="57"/>
        <v>1.8434903550983928</v>
      </c>
      <c r="BB52" s="1">
        <f t="shared" si="58"/>
        <v>1.6776064843654523</v>
      </c>
      <c r="BC52" s="1">
        <f t="shared" si="37"/>
        <v>1.0413659644298907</v>
      </c>
      <c r="BD52" s="1">
        <f t="shared" si="38"/>
        <v>0.43419650834126289</v>
      </c>
      <c r="BE52" s="1">
        <f t="shared" si="39"/>
        <v>1.0058822796612548</v>
      </c>
      <c r="BF52" s="1">
        <f t="shared" si="40"/>
        <v>0.47713041336227252</v>
      </c>
      <c r="BG52" s="1">
        <f t="shared" si="41"/>
        <v>74.976760093662833</v>
      </c>
      <c r="BH52" s="1">
        <f t="shared" si="42"/>
        <v>-13.729520544635182</v>
      </c>
      <c r="BI52" s="1">
        <f t="shared" si="43"/>
        <v>-29.727608091867165</v>
      </c>
      <c r="BJ52" s="1">
        <f t="shared" si="59"/>
        <v>6.8465792609511994E-2</v>
      </c>
      <c r="BK52" s="1">
        <f t="shared" si="44"/>
        <v>74.976760093662833</v>
      </c>
      <c r="BL52" s="1">
        <f t="shared" si="45"/>
        <v>-13.729520544635182</v>
      </c>
      <c r="BM52" s="1">
        <f t="shared" si="46"/>
        <v>-29.727608091867165</v>
      </c>
      <c r="BP52" s="1">
        <f t="shared" ref="BP52:BX52" si="78">BQ37</f>
        <v>-0.12940952255126031</v>
      </c>
      <c r="BQ52" s="1">
        <f t="shared" si="78"/>
        <v>0.86602540378443871</v>
      </c>
      <c r="BR52" s="1">
        <f t="shared" si="78"/>
        <v>0.48296291314453393</v>
      </c>
      <c r="BS52" s="1">
        <f t="shared" si="78"/>
        <v>0</v>
      </c>
      <c r="BT52" s="1">
        <f t="shared" si="78"/>
        <v>0</v>
      </c>
      <c r="BU52" s="1">
        <f t="shared" si="78"/>
        <v>0</v>
      </c>
      <c r="BV52" s="1">
        <f t="shared" si="78"/>
        <v>-0.25881904510252074</v>
      </c>
      <c r="BW52" s="1">
        <f t="shared" si="78"/>
        <v>2.4502969098172395E-16</v>
      </c>
      <c r="BX52" s="1">
        <f t="shared" si="78"/>
        <v>0.96592582628906831</v>
      </c>
      <c r="CA52">
        <v>0</v>
      </c>
      <c r="CC52" s="19">
        <v>9.9836562993017335</v>
      </c>
    </row>
    <row r="53" spans="4:85" x14ac:dyDescent="0.25">
      <c r="D53" s="1">
        <v>1.12491729965987</v>
      </c>
      <c r="E53" s="14">
        <v>5.0884216465342798</v>
      </c>
      <c r="F53" s="1">
        <v>0.171466381936632</v>
      </c>
      <c r="G53" s="1">
        <f t="shared" si="8"/>
        <v>0.47688803158106752</v>
      </c>
      <c r="H53" s="1">
        <f t="shared" si="9"/>
        <v>1.5660910488506801</v>
      </c>
      <c r="I53" s="1">
        <f t="shared" si="10"/>
        <v>0.80179094222066516</v>
      </c>
      <c r="J53" s="1">
        <f t="shared" si="48"/>
        <v>0.7395884118280992</v>
      </c>
      <c r="K53" s="1">
        <f t="shared" si="49"/>
        <v>1.3033906686036483</v>
      </c>
      <c r="L53" s="1">
        <f t="shared" si="50"/>
        <v>-0.92735714374134659</v>
      </c>
      <c r="M53" s="1">
        <f t="shared" si="11"/>
        <v>0.61289372412952414</v>
      </c>
      <c r="N53" s="1">
        <f t="shared" si="12"/>
        <v>0.37866007413762082</v>
      </c>
      <c r="O53" s="1">
        <f t="shared" si="13"/>
        <v>-0.29600493845359732</v>
      </c>
      <c r="P53" s="1">
        <f t="shared" si="14"/>
        <v>-0.43840704188383001</v>
      </c>
      <c r="Q53" s="16">
        <f t="shared" si="15"/>
        <v>59.369658794236152</v>
      </c>
      <c r="R53" s="1">
        <f t="shared" si="16"/>
        <v>93.731904894168935</v>
      </c>
      <c r="S53" s="1">
        <f t="shared" si="17"/>
        <v>-11.49129270883952</v>
      </c>
      <c r="T53" s="1">
        <f t="shared" si="51"/>
        <v>0</v>
      </c>
      <c r="U53" s="1">
        <f t="shared" si="18"/>
        <v>59.369658794236152</v>
      </c>
      <c r="V53" s="1">
        <f t="shared" si="19"/>
        <v>34.277088486548472</v>
      </c>
      <c r="W53" s="1">
        <f t="shared" si="20"/>
        <v>-11.49129270883952</v>
      </c>
      <c r="Y53" s="1">
        <v>1.65211651717035</v>
      </c>
      <c r="Z53" s="1">
        <v>6.2234531459329201</v>
      </c>
      <c r="AA53" s="1">
        <v>0.139333311173999</v>
      </c>
      <c r="AB53" s="1">
        <f t="shared" si="21"/>
        <v>0.89903445101086599</v>
      </c>
      <c r="AC53" s="1">
        <f t="shared" si="22"/>
        <v>1.0700477377204622</v>
      </c>
      <c r="AD53" s="1">
        <f t="shared" si="23"/>
        <v>-0.20110364664342706</v>
      </c>
      <c r="AE53" s="1">
        <f t="shared" si="52"/>
        <v>1.0363557540535699</v>
      </c>
      <c r="AF53" s="1">
        <f t="shared" si="53"/>
        <v>0.93272643467775818</v>
      </c>
      <c r="AG53" s="1">
        <f t="shared" si="54"/>
        <v>0.21229532211642232</v>
      </c>
      <c r="AH53" s="1">
        <f t="shared" si="24"/>
        <v>0.59072465661939844</v>
      </c>
      <c r="AI53" s="1">
        <f t="shared" si="25"/>
        <v>-0.81198241218839629</v>
      </c>
      <c r="AJ53" s="1">
        <f t="shared" si="26"/>
        <v>-0.28529810102720954</v>
      </c>
      <c r="AK53" s="1">
        <f t="shared" si="27"/>
        <v>6.3818867007519209E-2</v>
      </c>
      <c r="AL53" s="1">
        <f t="shared" si="28"/>
        <v>116.14023184055642</v>
      </c>
      <c r="AM53" s="1">
        <f t="shared" si="29"/>
        <v>21.913908160783397</v>
      </c>
      <c r="AN53" s="1">
        <f t="shared" si="30"/>
        <v>-22.142265023340759</v>
      </c>
      <c r="AO53" s="1">
        <f t="shared" si="55"/>
        <v>0.139333311173999</v>
      </c>
      <c r="AP53" s="1">
        <f t="shared" si="31"/>
        <v>116.14023184055642</v>
      </c>
      <c r="AQ53" s="1">
        <f t="shared" si="32"/>
        <v>21.913908160783397</v>
      </c>
      <c r="AR53" s="1">
        <f t="shared" si="33"/>
        <v>-22.142265023340759</v>
      </c>
      <c r="AT53" s="1">
        <v>1.9966070491988901</v>
      </c>
      <c r="AU53" s="1">
        <v>4.9715316008737496</v>
      </c>
      <c r="AV53" s="1">
        <v>0.25797411645610002</v>
      </c>
      <c r="AW53" s="1">
        <f t="shared" si="34"/>
        <v>0.4120857668301009</v>
      </c>
      <c r="AX53" s="1">
        <f t="shared" si="35"/>
        <v>1.4859280672961908</v>
      </c>
      <c r="AY53" s="1">
        <f t="shared" si="36"/>
        <v>-0.73764076891556885</v>
      </c>
      <c r="AZ53" s="1">
        <f t="shared" si="56"/>
        <v>0.7477476100060555</v>
      </c>
      <c r="BA53" s="1">
        <f t="shared" si="57"/>
        <v>1.1502662241202364</v>
      </c>
      <c r="BB53" s="1">
        <f t="shared" si="58"/>
        <v>0.88988365355074783</v>
      </c>
      <c r="BC53" s="1">
        <f t="shared" si="37"/>
        <v>0.56940415023788749</v>
      </c>
      <c r="BD53" s="1">
        <f t="shared" si="38"/>
        <v>0.23031883746434678</v>
      </c>
      <c r="BE53" s="1">
        <f t="shared" si="39"/>
        <v>0.55000217431095622</v>
      </c>
      <c r="BF53" s="1">
        <f t="shared" si="40"/>
        <v>0.29771080574048148</v>
      </c>
      <c r="BG53" s="1">
        <f t="shared" si="41"/>
        <v>156.92940369838962</v>
      </c>
      <c r="BH53" s="1">
        <f t="shared" si="42"/>
        <v>-37.46184507316417</v>
      </c>
      <c r="BI53" s="1">
        <f t="shared" si="43"/>
        <v>-59.416298598061005</v>
      </c>
      <c r="BJ53" s="1">
        <f t="shared" si="59"/>
        <v>0.25797411645610002</v>
      </c>
      <c r="BK53" s="1">
        <f t="shared" si="44"/>
        <v>156.92940369838962</v>
      </c>
      <c r="BL53" s="1">
        <f t="shared" si="45"/>
        <v>-37.46184507316417</v>
      </c>
      <c r="BM53" s="1">
        <f t="shared" si="46"/>
        <v>-59.416298598061005</v>
      </c>
      <c r="BP53" s="1">
        <f t="shared" ref="BP53:BX53" si="79">BQ38</f>
        <v>-0.96592582628906831</v>
      </c>
      <c r="BQ53" s="1">
        <f t="shared" si="79"/>
        <v>0</v>
      </c>
      <c r="BR53" s="1">
        <f t="shared" si="79"/>
        <v>-0.25881904510252074</v>
      </c>
      <c r="BS53" s="1">
        <f t="shared" si="79"/>
        <v>0</v>
      </c>
      <c r="BT53" s="1">
        <f t="shared" si="79"/>
        <v>0</v>
      </c>
      <c r="BU53" s="1">
        <f t="shared" si="79"/>
        <v>0</v>
      </c>
      <c r="BV53" s="1">
        <f t="shared" si="79"/>
        <v>0.96592582628906831</v>
      </c>
      <c r="BW53" s="1">
        <f t="shared" si="79"/>
        <v>0</v>
      </c>
      <c r="BX53" s="1">
        <f t="shared" si="79"/>
        <v>0.25881904510252074</v>
      </c>
      <c r="CA53">
        <v>0</v>
      </c>
      <c r="CC53" s="19">
        <v>2832.9311880101027</v>
      </c>
    </row>
    <row r="54" spans="4:85" x14ac:dyDescent="0.25">
      <c r="D54" s="1">
        <v>1.54200608480259</v>
      </c>
      <c r="E54" s="14">
        <v>7.9239519857599499</v>
      </c>
      <c r="F54" s="1">
        <v>0.24282412702379699</v>
      </c>
      <c r="G54" s="1">
        <f t="shared" si="8"/>
        <v>1.4733754093797398</v>
      </c>
      <c r="H54" s="1">
        <f t="shared" si="9"/>
        <v>1.0749951313667427</v>
      </c>
      <c r="I54" s="1">
        <f t="shared" si="10"/>
        <v>7.1505652098937542E-2</v>
      </c>
      <c r="J54" s="1">
        <f t="shared" si="48"/>
        <v>1.0712101935478673</v>
      </c>
      <c r="K54" s="1">
        <f t="shared" si="49"/>
        <v>1.4771603471986157</v>
      </c>
      <c r="L54" s="1">
        <f t="shared" si="50"/>
        <v>-5.9924018116744374E-2</v>
      </c>
      <c r="M54" s="1">
        <f t="shared" si="11"/>
        <v>0.76451116222394488</v>
      </c>
      <c r="N54" s="1">
        <f t="shared" si="12"/>
        <v>0.88057531448524184</v>
      </c>
      <c r="O54" s="1">
        <f t="shared" si="13"/>
        <v>-0.36923053803918976</v>
      </c>
      <c r="P54" s="1">
        <f t="shared" si="14"/>
        <v>0.33218981238511724</v>
      </c>
      <c r="Q54" s="16">
        <f t="shared" si="15"/>
        <v>243.04687288422505</v>
      </c>
      <c r="R54" s="1">
        <f t="shared" si="16"/>
        <v>-18.38499516240454</v>
      </c>
      <c r="S54" s="1">
        <f t="shared" si="17"/>
        <v>29.26628841614918</v>
      </c>
      <c r="T54" s="1">
        <f t="shared" si="51"/>
        <v>0.24282412702379699</v>
      </c>
      <c r="U54" s="1">
        <f t="shared" si="18"/>
        <v>243.04687288422505</v>
      </c>
      <c r="V54" s="1">
        <f t="shared" si="19"/>
        <v>-18.38499516240454</v>
      </c>
      <c r="W54" s="1">
        <f t="shared" si="20"/>
        <v>29.26628841614918</v>
      </c>
      <c r="Y54" s="1">
        <v>1.58192581953124</v>
      </c>
      <c r="Z54" s="1">
        <v>9.0559330119025692</v>
      </c>
      <c r="AA54" s="1">
        <v>0.215273223618796</v>
      </c>
      <c r="AB54" s="1">
        <f t="shared" si="21"/>
        <v>1.7279621679618298</v>
      </c>
      <c r="AC54" s="1">
        <f t="shared" si="22"/>
        <v>1.0447487841758105</v>
      </c>
      <c r="AD54" s="1">
        <f t="shared" si="23"/>
        <v>-2.6838252241908216E-2</v>
      </c>
      <c r="AE54" s="1">
        <f t="shared" si="52"/>
        <v>1.0442360643862405</v>
      </c>
      <c r="AF54" s="1">
        <f t="shared" si="53"/>
        <v>1.7284748877514002</v>
      </c>
      <c r="AG54" s="1">
        <f t="shared" si="54"/>
        <v>1.92284133368117E-2</v>
      </c>
      <c r="AH54" s="1">
        <f t="shared" si="24"/>
        <v>0.8318132856412922</v>
      </c>
      <c r="AI54" s="1">
        <f t="shared" si="25"/>
        <v>-0.86854381323142293</v>
      </c>
      <c r="AJ54" s="1">
        <f t="shared" si="26"/>
        <v>-0.40173496762564537</v>
      </c>
      <c r="AK54" s="1">
        <f t="shared" si="27"/>
        <v>0.43127733868025164</v>
      </c>
      <c r="AL54" s="1">
        <f t="shared" si="28"/>
        <v>222.20436258138466</v>
      </c>
      <c r="AM54" s="1">
        <f t="shared" si="29"/>
        <v>-36.578110936575371</v>
      </c>
      <c r="AN54" s="1">
        <f t="shared" si="30"/>
        <v>-18.590827476976468</v>
      </c>
      <c r="AO54" s="1">
        <f t="shared" si="55"/>
        <v>0.215273223618796</v>
      </c>
      <c r="AP54" s="1">
        <f t="shared" si="31"/>
        <v>222.20436258138466</v>
      </c>
      <c r="AQ54" s="1">
        <f t="shared" si="32"/>
        <v>-36.578110936575371</v>
      </c>
      <c r="AR54" s="1">
        <f t="shared" si="33"/>
        <v>-18.590827476976468</v>
      </c>
      <c r="AT54" s="1">
        <v>1.7653404385193501</v>
      </c>
      <c r="AU54" s="1">
        <v>5.9582641601267197</v>
      </c>
      <c r="AV54" s="1">
        <v>0.26611250161067002</v>
      </c>
      <c r="AW54" s="1">
        <f t="shared" si="34"/>
        <v>0.79493283158254235</v>
      </c>
      <c r="AX54" s="1">
        <f t="shared" si="35"/>
        <v>1.1387853477936298</v>
      </c>
      <c r="AY54" s="1">
        <f t="shared" si="36"/>
        <v>-0.46316233272363094</v>
      </c>
      <c r="AZ54" s="1">
        <f t="shared" si="56"/>
        <v>0.95023648455854048</v>
      </c>
      <c r="BA54" s="1">
        <f t="shared" si="57"/>
        <v>0.9834816948176317</v>
      </c>
      <c r="BB54" s="1">
        <f t="shared" si="58"/>
        <v>0.49376277064889845</v>
      </c>
      <c r="BC54" s="1">
        <f t="shared" si="37"/>
        <v>0.58011545381285168</v>
      </c>
      <c r="BD54" s="1">
        <f t="shared" si="38"/>
        <v>0.12779520880652262</v>
      </c>
      <c r="BE54" s="1">
        <f t="shared" si="39"/>
        <v>0.56034849906723661</v>
      </c>
      <c r="BF54" s="1">
        <f t="shared" si="40"/>
        <v>0.25454379312850806</v>
      </c>
      <c r="BG54" s="1">
        <f t="shared" si="41"/>
        <v>161.56644476963956</v>
      </c>
      <c r="BH54" s="1">
        <f t="shared" si="42"/>
        <v>-26.83519986476858</v>
      </c>
      <c r="BI54" s="1">
        <f t="shared" si="43"/>
        <v>-34.007902709361701</v>
      </c>
      <c r="BJ54" s="1">
        <f t="shared" si="59"/>
        <v>0.26611250161067002</v>
      </c>
      <c r="BK54" s="1">
        <f t="shared" si="44"/>
        <v>161.56644476963956</v>
      </c>
      <c r="BL54" s="1">
        <f t="shared" si="45"/>
        <v>-26.83519986476858</v>
      </c>
      <c r="BM54" s="1">
        <f t="shared" si="46"/>
        <v>-34.007902709361701</v>
      </c>
      <c r="CC54" s="19"/>
    </row>
    <row r="55" spans="4:85" x14ac:dyDescent="0.25">
      <c r="D55" s="1">
        <v>1.5583475523767301</v>
      </c>
      <c r="E55" s="14">
        <v>8.3764573517826406</v>
      </c>
      <c r="F55" s="1">
        <v>0.22272356520102299</v>
      </c>
      <c r="G55" s="1">
        <f t="shared" si="8"/>
        <v>1.5851798438738909</v>
      </c>
      <c r="H55" s="1">
        <f t="shared" si="9"/>
        <v>1.0631195502131221</v>
      </c>
      <c r="I55" s="1">
        <f t="shared" si="10"/>
        <v>3.0585110458507963E-2</v>
      </c>
      <c r="J55" s="1">
        <f t="shared" si="48"/>
        <v>1.0624390351434077</v>
      </c>
      <c r="K55" s="1">
        <f t="shared" si="49"/>
        <v>1.5858603589436051</v>
      </c>
      <c r="L55" s="1">
        <f t="shared" si="50"/>
        <v>-2.4077291871458548E-2</v>
      </c>
      <c r="M55" s="1">
        <f t="shared" si="11"/>
        <v>0.79448981822610376</v>
      </c>
      <c r="N55" s="1">
        <f t="shared" si="12"/>
        <v>0.88251591293410081</v>
      </c>
      <c r="O55" s="1">
        <f t="shared" si="13"/>
        <v>-0.38370911707415029</v>
      </c>
      <c r="P55" s="1">
        <f t="shared" si="14"/>
        <v>0.39030981656739577</v>
      </c>
      <c r="Q55" s="16">
        <f t="shared" si="15"/>
        <v>228.19718311915446</v>
      </c>
      <c r="R55" s="1">
        <f t="shared" si="16"/>
        <v>-28.852543425547381</v>
      </c>
      <c r="S55" s="1">
        <f t="shared" si="17"/>
        <v>24.267094030712155</v>
      </c>
      <c r="T55" s="1">
        <f t="shared" si="51"/>
        <v>0.22272356520102299</v>
      </c>
      <c r="U55" s="1">
        <f t="shared" si="18"/>
        <v>228.19718311915446</v>
      </c>
      <c r="V55" s="1">
        <f t="shared" si="19"/>
        <v>-28.852543425547381</v>
      </c>
      <c r="W55" s="1">
        <f t="shared" si="20"/>
        <v>24.267094030712155</v>
      </c>
      <c r="Y55" s="1">
        <v>1.7246260944706899</v>
      </c>
      <c r="Z55" s="1">
        <v>6.8532339877755302</v>
      </c>
      <c r="AA55" s="1">
        <v>0.17980864688432599</v>
      </c>
      <c r="AB55" s="1">
        <f t="shared" si="21"/>
        <v>1.1440682459031792</v>
      </c>
      <c r="AC55" s="1">
        <f t="shared" si="22"/>
        <v>1.138678924130655</v>
      </c>
      <c r="AD55" s="1">
        <f t="shared" si="23"/>
        <v>-0.38151825227368108</v>
      </c>
      <c r="AE55" s="1">
        <f t="shared" si="52"/>
        <v>1.0232706994654326</v>
      </c>
      <c r="AF55" s="1">
        <f t="shared" si="53"/>
        <v>1.2594764705684016</v>
      </c>
      <c r="AG55" s="1">
        <f t="shared" si="54"/>
        <v>0.3627880185999382</v>
      </c>
      <c r="AH55" s="1">
        <f t="shared" si="24"/>
        <v>0.68482415101015026</v>
      </c>
      <c r="AI55" s="1">
        <f t="shared" si="25"/>
        <v>-0.76208617469135309</v>
      </c>
      <c r="AJ55" s="1">
        <f t="shared" si="26"/>
        <v>-0.33074466696359484</v>
      </c>
      <c r="AK55" s="1">
        <f t="shared" si="27"/>
        <v>2.2498405082023498E-2</v>
      </c>
      <c r="AL55" s="1">
        <f t="shared" si="28"/>
        <v>144.39676040420952</v>
      </c>
      <c r="AM55" s="1">
        <f t="shared" si="29"/>
        <v>34.502881030626057</v>
      </c>
      <c r="AN55" s="1">
        <f t="shared" si="30"/>
        <v>-17.011660765326354</v>
      </c>
      <c r="AO55" s="1">
        <f t="shared" si="55"/>
        <v>0.17980864688432599</v>
      </c>
      <c r="AP55" s="1">
        <f t="shared" si="31"/>
        <v>144.39676040420952</v>
      </c>
      <c r="AQ55" s="1">
        <f t="shared" si="32"/>
        <v>34.502881030626057</v>
      </c>
      <c r="AR55" s="1">
        <f t="shared" si="33"/>
        <v>-17.011660765326354</v>
      </c>
      <c r="AT55" s="1">
        <v>1.5071298772819399</v>
      </c>
      <c r="AU55" s="1">
        <v>7.7908652781886003</v>
      </c>
      <c r="AV55" s="1">
        <v>0.309259371355318</v>
      </c>
      <c r="AW55" s="1">
        <f t="shared" si="34"/>
        <v>1.4367774656157006</v>
      </c>
      <c r="AX55" s="1">
        <f t="shared" si="35"/>
        <v>1.0848740854053569</v>
      </c>
      <c r="AY55" s="1">
        <f t="shared" si="36"/>
        <v>0.15825569527183633</v>
      </c>
      <c r="AZ55" s="1">
        <f t="shared" si="56"/>
        <v>1.0662018236679613</v>
      </c>
      <c r="BA55" s="1">
        <f t="shared" si="57"/>
        <v>1.4554497273530957</v>
      </c>
      <c r="BB55" s="1">
        <f t="shared" si="58"/>
        <v>-0.13463053036373579</v>
      </c>
      <c r="BC55" s="1">
        <f t="shared" si="37"/>
        <v>0.75649546530631706</v>
      </c>
      <c r="BD55" s="1">
        <f t="shared" si="38"/>
        <v>-3.4844945310388273E-2</v>
      </c>
      <c r="BE55" s="1">
        <f t="shared" si="39"/>
        <v>0.73071850740993749</v>
      </c>
      <c r="BF55" s="1">
        <f t="shared" si="40"/>
        <v>0.37669810862825248</v>
      </c>
      <c r="BG55" s="1">
        <f t="shared" si="41"/>
        <v>248.4331628471939</v>
      </c>
      <c r="BH55" s="1">
        <f t="shared" si="42"/>
        <v>-54.039538921676765</v>
      </c>
      <c r="BI55" s="1">
        <f t="shared" si="43"/>
        <v>10.776125881601057</v>
      </c>
      <c r="BJ55" s="1">
        <f t="shared" si="59"/>
        <v>0.309259371355318</v>
      </c>
      <c r="BK55" s="1">
        <f t="shared" si="44"/>
        <v>248.4331628471939</v>
      </c>
      <c r="BL55" s="1">
        <f t="shared" si="45"/>
        <v>-54.039538921676765</v>
      </c>
      <c r="BM55" s="1">
        <f t="shared" si="46"/>
        <v>10.776125881601057</v>
      </c>
    </row>
    <row r="56" spans="4:85" x14ac:dyDescent="0.25">
      <c r="D56" s="1">
        <v>1.5079945793213001</v>
      </c>
      <c r="E56" s="14">
        <v>8.0390695520160005</v>
      </c>
      <c r="F56" s="1">
        <v>0.15551258764586001</v>
      </c>
      <c r="G56" s="1">
        <f t="shared" ref="G56:G87" si="80">pv/2*(1+kh)*(1-(R0/E56)^2)-pv/2*(1-kh)*(1-4*(R0/E56)^2+3*(R0/E56)^4)*COS(2*D56)</f>
        <v>1.5019942016435182</v>
      </c>
      <c r="H56" s="1">
        <f t="shared" ref="H56:H87" si="81">pv/2*(1+kh)*(1+(R0/E56)^2)+pv/2*(1-kh)*(1+3*(R0/E56)^4)*COS(2*D56)</f>
        <v>1.0795410952257258</v>
      </c>
      <c r="I56" s="1">
        <f t="shared" ref="I56:I87" si="82">pv/2*(1-kh)*(1+2*(R0/E56)^2-3*(R0/E56)^4)*SIN(2*D56)</f>
        <v>0.15523271205884942</v>
      </c>
      <c r="J56" s="1">
        <f t="shared" si="48"/>
        <v>1.0617585413777835</v>
      </c>
      <c r="K56" s="1">
        <f t="shared" si="49"/>
        <v>1.5197767554914603</v>
      </c>
      <c r="L56" s="1">
        <f t="shared" si="50"/>
        <v>-0.1275487379737088</v>
      </c>
      <c r="M56" s="1">
        <f t="shared" ref="M56:M87" si="83">v*(K56+J56)</f>
        <v>0.77446058906077309</v>
      </c>
      <c r="N56" s="1">
        <f t="shared" ref="N56:N87" si="84">J56*nxa+0*nya+L56*nza</f>
        <v>0.85516628792900296</v>
      </c>
      <c r="O56" s="1">
        <f t="shared" ref="O56:O87" si="85">0*nxa+M56*nya+0*nza</f>
        <v>-0.37403574220842273</v>
      </c>
      <c r="P56" s="1">
        <f t="shared" ref="P56:P87" si="86">L56*nxa+0*nya+K56*nza</f>
        <v>0.28665056978911785</v>
      </c>
      <c r="Q56" s="16">
        <f t="shared" ref="Q56:Q87" si="87">(N56*nxa+O56*nya+P56*nza)*F56*1000</f>
        <v>150.87777767764578</v>
      </c>
      <c r="R56" s="1">
        <f t="shared" ref="R56:R87" si="88">(N56*mxa+O56*mya+P56*mza)*F56*1000</f>
        <v>-5.722726695882888</v>
      </c>
      <c r="S56" s="1">
        <f t="shared" ref="S56:S87" si="89">(N56*kxa+O56*kya+P56*kza)*F56*1000</f>
        <v>16.12023100325457</v>
      </c>
      <c r="T56" s="1">
        <f t="shared" si="51"/>
        <v>0.15551258764586001</v>
      </c>
      <c r="U56" s="1">
        <f t="shared" ref="U56:U87" si="90">IF(-Q56&gt;=σt1*F56,0,Q56)</f>
        <v>150.87777767764578</v>
      </c>
      <c r="V56" s="1">
        <f t="shared" ref="V56:V87" si="91">IF(-Q56&gt;=σt1*F56,0,SIGN(R56)*IF(Q56&lt;0,MIN(ABS(R56),c_1*F56),MIN(ABS(R56),c_1*F56+Q56*TAN(φ1))))</f>
        <v>-5.722726695882888</v>
      </c>
      <c r="W56" s="1">
        <f t="shared" ref="W56:W87" si="92">IF(-Q56&gt;=σt1*F56,0,SIGN(S56)*IF(Q56&lt;0,MIN(ABS(S56),c_1*F56),MIN(ABS(S56),c_1*F56+Q56*TAN(φ1))))</f>
        <v>16.12023100325457</v>
      </c>
      <c r="Y56" s="1">
        <v>1.8918330820662801</v>
      </c>
      <c r="Z56" s="1">
        <v>5.5816575347187296</v>
      </c>
      <c r="AA56" s="1">
        <v>0.15957987824967601</v>
      </c>
      <c r="AB56" s="1">
        <f t="shared" ref="AB56:AB87" si="93">pv/2*(1+kh)*(1-(R0/Z56)^2)-pv/2*(1-kh)*(1-4*(R0/Z56)^2+3*(R0/Z56)^4)*COS(2*Y56)</f>
        <v>0.65464816679401072</v>
      </c>
      <c r="AC56" s="1">
        <f t="shared" ref="AC56:AC87" si="94">pv/2*(1+kh)*(1+(R0/Z56)^2)+pv/2*(1-kh)*(1+3*(R0/Z56)^4)*COS(2*Y56)</f>
        <v>1.3006765151799293</v>
      </c>
      <c r="AD56" s="1">
        <f t="shared" ref="AD56:AD87" si="95">pv/2*(1-kh)*(1+2*(R0/Z56)^2-3*(R0/Z56)^4)*SIN(2*Y56)</f>
        <v>-0.6994123965002077</v>
      </c>
      <c r="AE56" s="1">
        <f t="shared" si="52"/>
        <v>0.81750187099131666</v>
      </c>
      <c r="AF56" s="1">
        <f t="shared" si="53"/>
        <v>1.1378228109826236</v>
      </c>
      <c r="AG56" s="1">
        <f t="shared" si="54"/>
        <v>0.75356783434439034</v>
      </c>
      <c r="AH56" s="1">
        <f t="shared" ref="AH56:AH87" si="96">v*(AF56+AE56)</f>
        <v>0.58659740459218201</v>
      </c>
      <c r="AI56" s="1">
        <f t="shared" ref="AI56:AI87" si="97">AE56*nxb+0*nyb+AG56*nzb</f>
        <v>-0.48881593611540858</v>
      </c>
      <c r="AJ56" s="1">
        <f t="shared" ref="AJ56:AJ87" si="98">0*nxb+AH56*nyb+0*nzb</f>
        <v>-0.28330479136486342</v>
      </c>
      <c r="AK56" s="1">
        <f t="shared" ref="AK56:AK87" si="99">AG56*nxb+0*nyb+AF56*nzb</f>
        <v>-0.33588156596708535</v>
      </c>
      <c r="AL56" s="1">
        <f t="shared" ref="AL56:AL87" si="100">(AI56*nxb+AJ56*nyb+AK56*nzb)*AA56*1000</f>
        <v>73.214555765611578</v>
      </c>
      <c r="AM56" s="1">
        <f t="shared" ref="AM56:AM87" si="101">(AI56*mxb+AJ56*myb+AK56*mzb)*AA56*1000</f>
        <v>75.108521627298686</v>
      </c>
      <c r="AN56" s="1">
        <f t="shared" ref="AN56:AN87" si="102">(AI56*kxb+AJ56*kyb+AK56*kzb)*AA56*1000</f>
        <v>0.1501931150332152</v>
      </c>
      <c r="AO56" s="1">
        <f t="shared" si="55"/>
        <v>0</v>
      </c>
      <c r="AP56" s="1">
        <f t="shared" ref="AP56:AP87" si="103">IF(-AL56&gt;=σt1*AA56,0,AL56)</f>
        <v>73.214555765611578</v>
      </c>
      <c r="AQ56" s="1">
        <f t="shared" ref="AQ56:AQ87" si="104">IF(-AL56&gt;=σt1*AA56,0,SIGN(AM56)*IF(AL56&lt;0,MIN(ABS(AM56),c_1*AA56),MIN(ABS(AM56),c_1*AA56+AL56*TAN(φ1))))</f>
        <v>42.270443479874707</v>
      </c>
      <c r="AR56" s="1">
        <f t="shared" ref="AR56:AR87" si="105">IF(-AL56&gt;=σt1*AA56,0,SIGN(AN56)*IF(AL56&lt;0,MIN(ABS(AN56),c_1*AA56),MIN(ABS(AN56),c_1*AA56+AL56*TAN(φ1))))</f>
        <v>0.1501931150332152</v>
      </c>
      <c r="AT56" s="1">
        <v>1.2927423971804599</v>
      </c>
      <c r="AU56" s="1">
        <v>5.5746023374060298</v>
      </c>
      <c r="AV56" s="1">
        <v>0.15633082624226999</v>
      </c>
      <c r="AW56" s="1">
        <f t="shared" ref="AW56:AW87" si="106">pv/2*(1+kh)*(1-(R0/AU56)^2)-pv/2*(1-kh)*(1-4*(R0/AU56)^2+3*(R0/AU56)^4)*COS(2*AT56)</f>
        <v>0.63936578727661109</v>
      </c>
      <c r="AX56" s="1">
        <f t="shared" ref="AX56:AX87" si="107">pv/2*(1+kh)*(1+(R0/AU56)^2)+pv/2*(1-kh)*(1+3*(R0/AU56)^4)*COS(2*AT56)</f>
        <v>1.2177083514820746</v>
      </c>
      <c r="AY56" s="1">
        <f t="shared" ref="AY56:AY87" si="108">pv/2*(1-kh)*(1+2*(R0/AU56)^2-3*(R0/AU56)^4)*SIN(2*AT56)</f>
        <v>0.61581826678806839</v>
      </c>
      <c r="AZ56" s="1">
        <f t="shared" si="56"/>
        <v>0.84905395984028376</v>
      </c>
      <c r="BA56" s="1">
        <f t="shared" si="57"/>
        <v>1.008020178918402</v>
      </c>
      <c r="BB56" s="1">
        <f t="shared" si="58"/>
        <v>-0.67567344435074561</v>
      </c>
      <c r="BC56" s="1">
        <f t="shared" ref="BC56:BC87" si="109">v*(BA56+AZ56)</f>
        <v>0.55712224162760571</v>
      </c>
      <c r="BD56" s="1">
        <f t="shared" ref="BD56:BD87" si="110">AZ56*nxc+0*nyc+BB56*nzc</f>
        <v>-0.17487715566799136</v>
      </c>
      <c r="BE56" s="1">
        <f t="shared" ref="BE56:BE87" si="111">0*nxc+BC56*nyc+0*nzc</f>
        <v>0.53813876158816298</v>
      </c>
      <c r="BF56" s="1">
        <f t="shared" ref="BF56:BF87" si="112">BB56*nxc+0*nyc+BA56*nzc</f>
        <v>0.2608948201517331</v>
      </c>
      <c r="BG56" s="1">
        <f t="shared" ref="BG56:BG87" si="113">(BD56*nxc+BE56*nyc+BF56*nzc)*AV56*1000</f>
        <v>91.817264559639625</v>
      </c>
      <c r="BH56" s="1">
        <f t="shared" ref="BH56:BH87" si="114">(BD56*mxc+BE56*myc+BF56*mzc)*AV56*1000</f>
        <v>-17.622311771901387</v>
      </c>
      <c r="BI56" s="1">
        <f t="shared" ref="BI56:BI87" si="115">(BD56*kxc+BE56*kyc+BF56*kzc)*AV56*1000</f>
        <v>27.338690236475138</v>
      </c>
      <c r="BJ56" s="1">
        <f t="shared" si="59"/>
        <v>0.15633082624226999</v>
      </c>
      <c r="BK56" s="1">
        <f t="shared" ref="BK56:BK87" si="116">IF(-BG56&gt;=σt1*AV56,0,BG56)</f>
        <v>91.817264559639625</v>
      </c>
      <c r="BL56" s="1">
        <f t="shared" ref="BL56:BL87" si="117">IF(-BG56&gt;=σt1*AV56,0,SIGN(BH56)*IF(BG56&lt;0,MIN(ABS(BH56),c_1*AV56),MIN(ABS(BH56),c_1*AV56+BG56*TAN(φ1))))</f>
        <v>-17.622311771901387</v>
      </c>
      <c r="BM56" s="1">
        <f t="shared" ref="BM56:BM87" si="118">IF(-BG56&gt;=σt1*AV56,0,SIGN(BI56)*IF(BG56&lt;0,MIN(ABS(BI56),c_1*AV56),MIN(ABS(BI56),c_1*AV56+BG56*TAN(φ1))))</f>
        <v>27.338690236475138</v>
      </c>
    </row>
    <row r="57" spans="4:85" x14ac:dyDescent="0.25">
      <c r="D57" s="1">
        <v>1.4201566669252099</v>
      </c>
      <c r="E57" s="14">
        <v>6.8423286555705998</v>
      </c>
      <c r="F57" s="1">
        <v>0.25455607800709401</v>
      </c>
      <c r="G57" s="1">
        <f t="shared" si="80"/>
        <v>1.1402195973951701</v>
      </c>
      <c r="H57" s="1">
        <f t="shared" si="81"/>
        <v>1.1361415751200636</v>
      </c>
      <c r="I57" s="1">
        <f t="shared" si="82"/>
        <v>0.3738354676311863</v>
      </c>
      <c r="J57" s="1">
        <f t="shared" si="48"/>
        <v>1.0253006783255898</v>
      </c>
      <c r="K57" s="1">
        <f t="shared" si="49"/>
        <v>1.2510604941896442</v>
      </c>
      <c r="L57" s="1">
        <f t="shared" si="50"/>
        <v>-0.35639197635567482</v>
      </c>
      <c r="M57" s="1">
        <f t="shared" si="83"/>
        <v>0.6829083517545701</v>
      </c>
      <c r="N57" s="1">
        <f t="shared" si="84"/>
        <v>0.76543970265021377</v>
      </c>
      <c r="O57" s="1">
        <f t="shared" si="85"/>
        <v>-0.32981940697411927</v>
      </c>
      <c r="P57" s="1">
        <f t="shared" si="86"/>
        <v>2.5670583728790053E-2</v>
      </c>
      <c r="Q57" s="16">
        <f t="shared" si="87"/>
        <v>205.23262243422778</v>
      </c>
      <c r="R57" s="1">
        <f t="shared" si="88"/>
        <v>48.226796489256145</v>
      </c>
      <c r="S57" s="1">
        <f t="shared" si="89"/>
        <v>24.714306448160919</v>
      </c>
      <c r="T57" s="1">
        <f t="shared" si="51"/>
        <v>0.25455607800709401</v>
      </c>
      <c r="U57" s="1">
        <f t="shared" si="90"/>
        <v>205.23262243422778</v>
      </c>
      <c r="V57" s="1">
        <f t="shared" si="91"/>
        <v>48.226796489256145</v>
      </c>
      <c r="W57" s="1">
        <f t="shared" si="92"/>
        <v>24.714306448160919</v>
      </c>
      <c r="Y57" s="1">
        <v>1.7791118466720099</v>
      </c>
      <c r="Z57" s="1">
        <v>6.2303438920180598</v>
      </c>
      <c r="AA57" s="1">
        <v>0.32644066412106598</v>
      </c>
      <c r="AB57" s="1">
        <f t="shared" si="93"/>
        <v>0.91144207777215147</v>
      </c>
      <c r="AC57" s="1">
        <f t="shared" si="94"/>
        <v>1.1737665918143108</v>
      </c>
      <c r="AD57" s="1">
        <f t="shared" si="95"/>
        <v>-0.50276538405082172</v>
      </c>
      <c r="AE57" s="1">
        <f t="shared" si="52"/>
        <v>0.95908654907578861</v>
      </c>
      <c r="AF57" s="1">
        <f t="shared" si="53"/>
        <v>1.1261221205106735</v>
      </c>
      <c r="AG57" s="1">
        <f t="shared" si="54"/>
        <v>0.51283657098094071</v>
      </c>
      <c r="AH57" s="1">
        <f t="shared" si="96"/>
        <v>0.62556260087593862</v>
      </c>
      <c r="AI57" s="1">
        <f t="shared" si="97"/>
        <v>-0.66955966340258999</v>
      </c>
      <c r="AJ57" s="1">
        <f t="shared" si="98"/>
        <v>-0.3021235360733151</v>
      </c>
      <c r="AK57" s="1">
        <f t="shared" si="99"/>
        <v>-0.13753430087915003</v>
      </c>
      <c r="AL57" s="1">
        <f t="shared" si="100"/>
        <v>218.85089458821037</v>
      </c>
      <c r="AM57" s="1">
        <f t="shared" si="101"/>
        <v>105.12149619776498</v>
      </c>
      <c r="AN57" s="1">
        <f t="shared" si="102"/>
        <v>-23.873642014091395</v>
      </c>
      <c r="AO57" s="1">
        <f t="shared" si="55"/>
        <v>0.32644066412106598</v>
      </c>
      <c r="AP57" s="1">
        <f t="shared" si="103"/>
        <v>218.85089458821037</v>
      </c>
      <c r="AQ57" s="1">
        <f t="shared" si="104"/>
        <v>105.12149619776498</v>
      </c>
      <c r="AR57" s="1">
        <f t="shared" si="105"/>
        <v>-23.873642014091395</v>
      </c>
      <c r="AT57" s="1">
        <v>1.3976920216013999</v>
      </c>
      <c r="AU57" s="1">
        <v>6.6241763928228501</v>
      </c>
      <c r="AV57" s="1">
        <v>0.243304887052082</v>
      </c>
      <c r="AW57" s="1">
        <f t="shared" si="106"/>
        <v>1.0620346043803337</v>
      </c>
      <c r="AX57" s="1">
        <f t="shared" si="107"/>
        <v>1.1514327386922336</v>
      </c>
      <c r="AY57" s="1">
        <f t="shared" si="108"/>
        <v>0.42661815290790805</v>
      </c>
      <c r="AZ57" s="1">
        <f t="shared" si="56"/>
        <v>1.004014596004152</v>
      </c>
      <c r="BA57" s="1">
        <f t="shared" si="57"/>
        <v>1.2094527470684153</v>
      </c>
      <c r="BB57" s="1">
        <f t="shared" si="58"/>
        <v>-0.41647310419400618</v>
      </c>
      <c r="BC57" s="1">
        <f t="shared" si="109"/>
        <v>0.66404020292177013</v>
      </c>
      <c r="BD57" s="1">
        <f t="shared" si="110"/>
        <v>-0.10779117113837554</v>
      </c>
      <c r="BE57" s="1">
        <f t="shared" si="111"/>
        <v>0.64141358169637142</v>
      </c>
      <c r="BF57" s="1">
        <f t="shared" si="112"/>
        <v>0.31302940509286792</v>
      </c>
      <c r="BG57" s="1">
        <f t="shared" si="113"/>
        <v>170.45354401847291</v>
      </c>
      <c r="BH57" s="1">
        <f t="shared" si="114"/>
        <v>-33.175384362597079</v>
      </c>
      <c r="BI57" s="1">
        <f t="shared" si="115"/>
        <v>26.226118719034066</v>
      </c>
      <c r="BJ57" s="1">
        <f t="shared" si="59"/>
        <v>0.243304887052082</v>
      </c>
      <c r="BK57" s="1">
        <f t="shared" si="116"/>
        <v>170.45354401847291</v>
      </c>
      <c r="BL57" s="1">
        <f t="shared" si="117"/>
        <v>-33.175384362597079</v>
      </c>
      <c r="BM57" s="1">
        <f t="shared" si="118"/>
        <v>26.226118719034066</v>
      </c>
    </row>
    <row r="58" spans="4:85" x14ac:dyDescent="0.25">
      <c r="D58" s="1">
        <v>1.32321104526122</v>
      </c>
      <c r="E58" s="14">
        <v>6.0077541074383101</v>
      </c>
      <c r="F58" s="1">
        <v>0.196955685462681</v>
      </c>
      <c r="G58" s="1">
        <f t="shared" si="80"/>
        <v>0.82430621674625215</v>
      </c>
      <c r="H58" s="1">
        <f t="shared" si="81"/>
        <v>1.2112958331644632</v>
      </c>
      <c r="I58" s="1">
        <f t="shared" si="82"/>
        <v>0.58243908536916378</v>
      </c>
      <c r="J58" s="1">
        <f t="shared" si="48"/>
        <v>0.91129030687700574</v>
      </c>
      <c r="K58" s="1">
        <f t="shared" si="49"/>
        <v>1.1243117430337097</v>
      </c>
      <c r="L58" s="1">
        <f t="shared" si="50"/>
        <v>-0.60442617076362637</v>
      </c>
      <c r="M58" s="1">
        <f t="shared" si="83"/>
        <v>0.61068061497321457</v>
      </c>
      <c r="N58" s="1">
        <f t="shared" si="84"/>
        <v>0.60587219478883059</v>
      </c>
      <c r="O58" s="1">
        <f t="shared" si="85"/>
        <v>-0.2949360888083592</v>
      </c>
      <c r="P58" s="1">
        <f t="shared" si="86"/>
        <v>-0.21461905452005042</v>
      </c>
      <c r="Q58" s="16">
        <f t="shared" si="87"/>
        <v>116.93606925061968</v>
      </c>
      <c r="R58" s="1">
        <f t="shared" si="88"/>
        <v>75.094508091275756</v>
      </c>
      <c r="S58" s="1">
        <f t="shared" si="89"/>
        <v>9.3581429839311205</v>
      </c>
      <c r="T58" s="1">
        <f t="shared" si="51"/>
        <v>0</v>
      </c>
      <c r="U58" s="1">
        <f t="shared" si="90"/>
        <v>116.93606925061968</v>
      </c>
      <c r="V58" s="1">
        <f t="shared" si="91"/>
        <v>67.513071059821982</v>
      </c>
      <c r="W58" s="1">
        <f t="shared" si="92"/>
        <v>9.3581429839311205</v>
      </c>
      <c r="Y58" s="1">
        <v>2.0987732341429299</v>
      </c>
      <c r="Z58" s="1">
        <v>4.6474415861192302</v>
      </c>
      <c r="AA58" s="1">
        <v>0.174007149329553</v>
      </c>
      <c r="AB58" s="1">
        <f t="shared" si="93"/>
        <v>0.30748590326466585</v>
      </c>
      <c r="AC58" s="1">
        <f t="shared" si="94"/>
        <v>1.8237181718053419</v>
      </c>
      <c r="AD58" s="1">
        <f t="shared" si="95"/>
        <v>-0.68702025485767859</v>
      </c>
      <c r="AE58" s="1">
        <f t="shared" si="52"/>
        <v>0.84093472937859115</v>
      </c>
      <c r="AF58" s="1">
        <f t="shared" si="53"/>
        <v>1.2902693456914167</v>
      </c>
      <c r="AG58" s="1">
        <f t="shared" si="54"/>
        <v>0.99812900181863373</v>
      </c>
      <c r="AH58" s="1">
        <f t="shared" si="96"/>
        <v>0.63936122252100236</v>
      </c>
      <c r="AI58" s="1">
        <f t="shared" si="97"/>
        <v>-0.44512081636470163</v>
      </c>
      <c r="AJ58" s="1">
        <f t="shared" si="98"/>
        <v>-0.30878775858039431</v>
      </c>
      <c r="AK58" s="1">
        <f t="shared" si="99"/>
        <v>-0.50100490327792424</v>
      </c>
      <c r="AL58" s="1">
        <f t="shared" si="100"/>
        <v>68.178479802870314</v>
      </c>
      <c r="AM58" s="1">
        <f t="shared" si="101"/>
        <v>108.52212582549802</v>
      </c>
      <c r="AN58" s="1">
        <f t="shared" si="102"/>
        <v>7.8055492139277227</v>
      </c>
      <c r="AO58" s="1">
        <f t="shared" si="55"/>
        <v>0</v>
      </c>
      <c r="AP58" s="1">
        <f t="shared" si="103"/>
        <v>68.178479802870314</v>
      </c>
      <c r="AQ58" s="1">
        <f t="shared" si="104"/>
        <v>39.362863667126639</v>
      </c>
      <c r="AR58" s="1">
        <f t="shared" si="105"/>
        <v>7.8055492139277227</v>
      </c>
      <c r="AT58" s="1">
        <v>1.53529211135471</v>
      </c>
      <c r="AU58" s="1">
        <v>8.4667033427252196</v>
      </c>
      <c r="AV58" s="1">
        <v>0.18444938864927499</v>
      </c>
      <c r="AW58" s="1">
        <f t="shared" si="106"/>
        <v>1.6052178438768947</v>
      </c>
      <c r="AX58" s="1">
        <f t="shared" si="107"/>
        <v>1.0632179112336819</v>
      </c>
      <c r="AY58" s="1">
        <f t="shared" si="108"/>
        <v>8.6955692974677812E-2</v>
      </c>
      <c r="AZ58" s="1">
        <f t="shared" si="56"/>
        <v>1.0577314421409796</v>
      </c>
      <c r="BA58" s="1">
        <f t="shared" si="57"/>
        <v>1.6107043129695968</v>
      </c>
      <c r="BB58" s="1">
        <f t="shared" si="58"/>
        <v>-6.7509446145762125E-2</v>
      </c>
      <c r="BC58" s="1">
        <f t="shared" si="109"/>
        <v>0.80053072653317292</v>
      </c>
      <c r="BD58" s="1">
        <f t="shared" si="110"/>
        <v>-1.7472730386846453E-2</v>
      </c>
      <c r="BE58" s="1">
        <f t="shared" si="111"/>
        <v>0.77325330349634325</v>
      </c>
      <c r="BF58" s="1">
        <f t="shared" si="112"/>
        <v>0.41688095222530275</v>
      </c>
      <c r="BG58" s="1">
        <f t="shared" si="113"/>
        <v>157.66771850585471</v>
      </c>
      <c r="BH58" s="1">
        <f t="shared" si="114"/>
        <v>-37.359005679497223</v>
      </c>
      <c r="BI58" s="1">
        <f t="shared" si="115"/>
        <v>3.222834437887403</v>
      </c>
      <c r="BJ58" s="1">
        <f t="shared" si="59"/>
        <v>0.18444938864927499</v>
      </c>
      <c r="BK58" s="1">
        <f t="shared" si="116"/>
        <v>157.66771850585471</v>
      </c>
      <c r="BL58" s="1">
        <f t="shared" si="117"/>
        <v>-37.359005679497223</v>
      </c>
      <c r="BM58" s="1">
        <f t="shared" si="118"/>
        <v>3.222834437887403</v>
      </c>
    </row>
    <row r="59" spans="4:85" x14ac:dyDescent="0.25">
      <c r="D59" s="1">
        <v>1.3641349592953</v>
      </c>
      <c r="E59" s="14">
        <v>4.3449461703545902</v>
      </c>
      <c r="F59" s="1">
        <v>0.22281142118111399</v>
      </c>
      <c r="G59" s="1">
        <f t="shared" si="80"/>
        <v>6.4044748408670554E-2</v>
      </c>
      <c r="H59" s="1">
        <f t="shared" si="81"/>
        <v>0.51209454797053677</v>
      </c>
      <c r="I59" s="1">
        <f t="shared" si="82"/>
        <v>0.20502582872380951</v>
      </c>
      <c r="J59" s="1">
        <f t="shared" si="48"/>
        <v>0.41088015914193732</v>
      </c>
      <c r="K59" s="1">
        <f t="shared" si="49"/>
        <v>0.16525913723727001</v>
      </c>
      <c r="L59" s="1">
        <f t="shared" si="50"/>
        <v>-0.27774147073378996</v>
      </c>
      <c r="M59" s="1">
        <f t="shared" si="83"/>
        <v>0.1728417889137622</v>
      </c>
      <c r="N59" s="1">
        <f t="shared" si="84"/>
        <v>0.27182316976392645</v>
      </c>
      <c r="O59" s="1">
        <f t="shared" si="85"/>
        <v>-8.3476173886903204E-2</v>
      </c>
      <c r="P59" s="1">
        <f t="shared" si="86"/>
        <v>-0.1895630563987159</v>
      </c>
      <c r="Q59" s="16">
        <f t="shared" si="87"/>
        <v>48.715016792663512</v>
      </c>
      <c r="R59" s="1">
        <f t="shared" si="88"/>
        <v>56.779916879094522</v>
      </c>
      <c r="S59" s="1">
        <f t="shared" si="89"/>
        <v>14.175061569494586</v>
      </c>
      <c r="T59" s="1">
        <f t="shared" si="51"/>
        <v>0</v>
      </c>
      <c r="U59" s="1">
        <f t="shared" si="90"/>
        <v>48.715016792663512</v>
      </c>
      <c r="V59" s="1">
        <f t="shared" si="91"/>
        <v>28.125628058821416</v>
      </c>
      <c r="W59" s="1">
        <f t="shared" si="92"/>
        <v>14.175061569494586</v>
      </c>
      <c r="Y59" s="1">
        <v>1.90476329003392</v>
      </c>
      <c r="Z59" s="1">
        <v>4.0996992509736296</v>
      </c>
      <c r="AA59" s="1">
        <v>9.2825651577967003E-2</v>
      </c>
      <c r="AB59" s="1">
        <f t="shared" si="93"/>
        <v>1.8165906420250094E-2</v>
      </c>
      <c r="AC59" s="1">
        <f t="shared" si="94"/>
        <v>0.66673022839922691</v>
      </c>
      <c r="AD59" s="1">
        <f t="shared" si="95"/>
        <v>-0.10843186315450754</v>
      </c>
      <c r="AE59" s="1">
        <f t="shared" si="52"/>
        <v>0.52988403732355849</v>
      </c>
      <c r="AF59" s="1">
        <f t="shared" si="53"/>
        <v>0.15501209749591871</v>
      </c>
      <c r="AG59" s="1">
        <f t="shared" si="54"/>
        <v>0.28597927558764807</v>
      </c>
      <c r="AH59" s="1">
        <f t="shared" si="96"/>
        <v>0.20546884044584315</v>
      </c>
      <c r="AI59" s="1">
        <f t="shared" si="97"/>
        <v>-0.36923975328486391</v>
      </c>
      <c r="AJ59" s="1">
        <f t="shared" si="98"/>
        <v>-9.9233829742153987E-2</v>
      </c>
      <c r="AK59" s="1">
        <f t="shared" si="99"/>
        <v>-0.19910624350696268</v>
      </c>
      <c r="AL59" s="1">
        <f t="shared" si="100"/>
        <v>28.336779470242742</v>
      </c>
      <c r="AM59" s="1">
        <f t="shared" si="101"/>
        <v>26.726964211865059</v>
      </c>
      <c r="AN59" s="1">
        <f t="shared" si="102"/>
        <v>-9.1601150508130438</v>
      </c>
      <c r="AO59" s="1">
        <f t="shared" si="55"/>
        <v>0</v>
      </c>
      <c r="AP59" s="1">
        <f t="shared" si="103"/>
        <v>28.336779470242742</v>
      </c>
      <c r="AQ59" s="1">
        <f t="shared" si="104"/>
        <v>16.360247255111709</v>
      </c>
      <c r="AR59" s="1">
        <f t="shared" si="105"/>
        <v>-9.1601150508130438</v>
      </c>
      <c r="AT59" s="1">
        <v>1.6390640671799901</v>
      </c>
      <c r="AU59" s="1">
        <v>7.4122416243586402</v>
      </c>
      <c r="AV59" s="1">
        <v>0.228565924397234</v>
      </c>
      <c r="AW59" s="1">
        <f t="shared" si="106"/>
        <v>1.3277444388392303</v>
      </c>
      <c r="AX59" s="1">
        <f t="shared" si="107"/>
        <v>1.0916895429305518</v>
      </c>
      <c r="AY59" s="1">
        <f t="shared" si="108"/>
        <v>-0.17081632132310781</v>
      </c>
      <c r="AZ59" s="1">
        <f t="shared" si="56"/>
        <v>1.0695378717617714</v>
      </c>
      <c r="BA59" s="1">
        <f t="shared" si="57"/>
        <v>1.3498961100080107</v>
      </c>
      <c r="BB59" s="1">
        <f t="shared" si="58"/>
        <v>0.15316170756047248</v>
      </c>
      <c r="BC59" s="1">
        <f t="shared" si="109"/>
        <v>0.72583019453093456</v>
      </c>
      <c r="BD59" s="1">
        <f t="shared" si="110"/>
        <v>3.9641166897072769E-2</v>
      </c>
      <c r="BE59" s="1">
        <f t="shared" si="111"/>
        <v>0.70109813039784818</v>
      </c>
      <c r="BF59" s="1">
        <f t="shared" si="112"/>
        <v>0.34937882217988053</v>
      </c>
      <c r="BG59" s="1">
        <f t="shared" si="113"/>
        <v>175.45513115924464</v>
      </c>
      <c r="BH59" s="1">
        <f t="shared" si="114"/>
        <v>-35.660050713955975</v>
      </c>
      <c r="BI59" s="1">
        <f t="shared" si="115"/>
        <v>-9.0606199560145093</v>
      </c>
      <c r="BJ59" s="1">
        <f t="shared" si="59"/>
        <v>0.228565924397234</v>
      </c>
      <c r="BK59" s="1">
        <f t="shared" si="116"/>
        <v>175.45513115924464</v>
      </c>
      <c r="BL59" s="1">
        <f t="shared" si="117"/>
        <v>-35.660050713955975</v>
      </c>
      <c r="BM59" s="1">
        <f t="shared" si="118"/>
        <v>-9.0606199560145093</v>
      </c>
    </row>
    <row r="60" spans="4:85" x14ac:dyDescent="0.25">
      <c r="D60" s="1">
        <v>1.5224946994145301</v>
      </c>
      <c r="E60" s="14">
        <v>8.4218626757826396</v>
      </c>
      <c r="F60" s="1">
        <v>0.20055430063027499</v>
      </c>
      <c r="G60" s="1">
        <f t="shared" si="80"/>
        <v>1.5945676743901458</v>
      </c>
      <c r="H60" s="1">
        <f t="shared" si="81"/>
        <v>1.0667095585105248</v>
      </c>
      <c r="I60" s="1">
        <f t="shared" si="82"/>
        <v>0.11835606072630224</v>
      </c>
      <c r="J60" s="1">
        <f t="shared" si="48"/>
        <v>1.0565243133879776</v>
      </c>
      <c r="K60" s="1">
        <f t="shared" si="49"/>
        <v>1.6047529195126931</v>
      </c>
      <c r="L60" s="1">
        <f t="shared" si="50"/>
        <v>-9.2347461211891718E-2</v>
      </c>
      <c r="M60" s="1">
        <f t="shared" si="83"/>
        <v>0.79838316987020108</v>
      </c>
      <c r="N60" s="1">
        <f t="shared" si="84"/>
        <v>0.85989853171593256</v>
      </c>
      <c r="O60" s="1">
        <f t="shared" si="85"/>
        <v>-0.38558946152607959</v>
      </c>
      <c r="P60" s="1">
        <f t="shared" si="86"/>
        <v>0.33809046134121534</v>
      </c>
      <c r="Q60" s="16">
        <f t="shared" si="87"/>
        <v>199.16020784039569</v>
      </c>
      <c r="R60" s="1">
        <f t="shared" si="88"/>
        <v>-16.832598079345612</v>
      </c>
      <c r="S60" s="1">
        <f t="shared" si="89"/>
        <v>19.257022739377771</v>
      </c>
      <c r="T60" s="1">
        <f t="shared" si="51"/>
        <v>0.20055430063027499</v>
      </c>
      <c r="U60" s="1">
        <f t="shared" si="90"/>
        <v>199.16020784039569</v>
      </c>
      <c r="V60" s="1">
        <f t="shared" si="91"/>
        <v>-16.832598079345612</v>
      </c>
      <c r="W60" s="1">
        <f t="shared" si="92"/>
        <v>19.257022739377771</v>
      </c>
      <c r="Y60" s="1">
        <v>1.6593855008076901</v>
      </c>
      <c r="Z60" s="1">
        <v>7.8688842734330704</v>
      </c>
      <c r="AA60" s="1">
        <v>0.15370329796305199</v>
      </c>
      <c r="AB60" s="1">
        <f t="shared" si="93"/>
        <v>1.4565814225297606</v>
      </c>
      <c r="AC60" s="1">
        <f t="shared" si="94"/>
        <v>1.0919551327321741</v>
      </c>
      <c r="AD60" s="1">
        <f t="shared" si="95"/>
        <v>-0.21927289261992763</v>
      </c>
      <c r="AE60" s="1">
        <f t="shared" si="52"/>
        <v>1.0561617956450731</v>
      </c>
      <c r="AF60" s="1">
        <f t="shared" si="53"/>
        <v>1.4923747596168617</v>
      </c>
      <c r="AG60" s="1">
        <f t="shared" si="54"/>
        <v>0.18370695892245198</v>
      </c>
      <c r="AH60" s="1">
        <f t="shared" si="96"/>
        <v>0.7645609665785803</v>
      </c>
      <c r="AI60" s="1">
        <f t="shared" si="97"/>
        <v>-0.83594970175510519</v>
      </c>
      <c r="AJ60" s="1">
        <f t="shared" si="98"/>
        <v>-0.36925459169539232</v>
      </c>
      <c r="AK60" s="1">
        <f t="shared" si="99"/>
        <v>0.23258114397041732</v>
      </c>
      <c r="AL60" s="1">
        <f t="shared" si="100"/>
        <v>144.145759069462</v>
      </c>
      <c r="AM60" s="1">
        <f t="shared" si="101"/>
        <v>1.6141807199148417</v>
      </c>
      <c r="AN60" s="1">
        <f t="shared" si="102"/>
        <v>-15.092279608883787</v>
      </c>
      <c r="AO60" s="1">
        <f t="shared" si="55"/>
        <v>0.15370329796305199</v>
      </c>
      <c r="AP60" s="1">
        <f t="shared" si="103"/>
        <v>144.145759069462</v>
      </c>
      <c r="AQ60" s="1">
        <f t="shared" si="104"/>
        <v>1.6141807199148417</v>
      </c>
      <c r="AR60" s="1">
        <f t="shared" si="105"/>
        <v>-15.092279608883787</v>
      </c>
      <c r="AT60" s="1">
        <v>1.5469745910819901</v>
      </c>
      <c r="AU60" s="1">
        <v>8.0399333782311295</v>
      </c>
      <c r="AV60" s="1">
        <v>0.240101589659478</v>
      </c>
      <c r="AW60" s="1">
        <f t="shared" si="106"/>
        <v>1.5034473443323944</v>
      </c>
      <c r="AX60" s="1">
        <f t="shared" si="107"/>
        <v>1.0719784436942452</v>
      </c>
      <c r="AY60" s="1">
        <f t="shared" si="108"/>
        <v>5.901386519153818E-2</v>
      </c>
      <c r="AZ60" s="1">
        <f t="shared" si="56"/>
        <v>1.0694126834012028</v>
      </c>
      <c r="BA60" s="1">
        <f t="shared" si="57"/>
        <v>1.5060131046254366</v>
      </c>
      <c r="BB60" s="1">
        <f t="shared" si="58"/>
        <v>-4.8672449969399179E-2</v>
      </c>
      <c r="BC60" s="1">
        <f t="shared" si="109"/>
        <v>0.77262773640799187</v>
      </c>
      <c r="BD60" s="1">
        <f t="shared" si="110"/>
        <v>-1.2597357023880363E-2</v>
      </c>
      <c r="BE60" s="1">
        <f t="shared" si="111"/>
        <v>0.74630108470374201</v>
      </c>
      <c r="BF60" s="1">
        <f t="shared" si="112"/>
        <v>0.38978487365103814</v>
      </c>
      <c r="BG60" s="1">
        <f t="shared" si="113"/>
        <v>197.30473960227465</v>
      </c>
      <c r="BH60" s="1">
        <f t="shared" si="114"/>
        <v>-44.02174818550251</v>
      </c>
      <c r="BI60" s="1">
        <f t="shared" si="115"/>
        <v>3.024645446941622</v>
      </c>
      <c r="BJ60" s="1">
        <f t="shared" si="59"/>
        <v>0.240101589659478</v>
      </c>
      <c r="BK60" s="1">
        <f t="shared" si="116"/>
        <v>197.30473960227465</v>
      </c>
      <c r="BL60" s="1">
        <f t="shared" si="117"/>
        <v>-44.02174818550251</v>
      </c>
      <c r="BM60" s="1">
        <f t="shared" si="118"/>
        <v>3.024645446941622</v>
      </c>
    </row>
    <row r="61" spans="4:85" x14ac:dyDescent="0.25">
      <c r="D61" s="1">
        <v>1.4367264012979</v>
      </c>
      <c r="E61" s="14">
        <v>7.2249372223333399</v>
      </c>
      <c r="F61" s="1">
        <v>0.24488920460841501</v>
      </c>
      <c r="G61" s="1">
        <f t="shared" si="80"/>
        <v>1.2679074435762852</v>
      </c>
      <c r="H61" s="1">
        <f t="shared" si="81"/>
        <v>1.124868688095775</v>
      </c>
      <c r="I61" s="1">
        <f t="shared" si="82"/>
        <v>0.3332819500599179</v>
      </c>
      <c r="J61" s="1">
        <f t="shared" si="48"/>
        <v>1.0391252790444476</v>
      </c>
      <c r="K61" s="1">
        <f t="shared" si="49"/>
        <v>1.3536508526276123</v>
      </c>
      <c r="L61" s="1">
        <f t="shared" si="50"/>
        <v>-0.30242403264066209</v>
      </c>
      <c r="M61" s="1">
        <f t="shared" si="83"/>
        <v>0.71783283950161791</v>
      </c>
      <c r="N61" s="1">
        <f t="shared" si="84"/>
        <v>0.79097213820266987</v>
      </c>
      <c r="O61" s="1">
        <f t="shared" si="85"/>
        <v>-0.34668663931651406</v>
      </c>
      <c r="P61" s="1">
        <f t="shared" si="86"/>
        <v>9.736798713324285E-2</v>
      </c>
      <c r="Q61" s="16">
        <f t="shared" si="87"/>
        <v>209.20849684865379</v>
      </c>
      <c r="R61" s="1">
        <f t="shared" si="88"/>
        <v>31.371740597037832</v>
      </c>
      <c r="S61" s="1">
        <f t="shared" si="89"/>
        <v>23.324872025719358</v>
      </c>
      <c r="T61" s="1">
        <f t="shared" si="51"/>
        <v>0.24488920460841501</v>
      </c>
      <c r="U61" s="1">
        <f t="shared" si="90"/>
        <v>209.20849684865379</v>
      </c>
      <c r="V61" s="1">
        <f t="shared" si="91"/>
        <v>31.371740597037832</v>
      </c>
      <c r="W61" s="1">
        <f t="shared" si="92"/>
        <v>23.324872025719358</v>
      </c>
      <c r="Y61" s="1">
        <v>1.76083890240878</v>
      </c>
      <c r="Z61" s="1">
        <v>6.6325282532871501</v>
      </c>
      <c r="AA61" s="1">
        <v>0.27144547989916201</v>
      </c>
      <c r="AB61" s="1">
        <f t="shared" si="93"/>
        <v>1.0657853388209977</v>
      </c>
      <c r="AC61" s="1">
        <f t="shared" si="94"/>
        <v>1.1674886682822376</v>
      </c>
      <c r="AD61" s="1">
        <f t="shared" si="95"/>
        <v>-0.4664885526986231</v>
      </c>
      <c r="AE61" s="1">
        <f t="shared" si="52"/>
        <v>0.99079249916014112</v>
      </c>
      <c r="AF61" s="1">
        <f t="shared" si="53"/>
        <v>1.242481507943094</v>
      </c>
      <c r="AG61" s="1">
        <f t="shared" si="54"/>
        <v>0.45206263096964244</v>
      </c>
      <c r="AH61" s="1">
        <f t="shared" si="96"/>
        <v>0.66998220213097048</v>
      </c>
      <c r="AI61" s="1">
        <f t="shared" si="97"/>
        <v>-0.71181166069448998</v>
      </c>
      <c r="AJ61" s="1">
        <f t="shared" si="98"/>
        <v>-0.32357655609616393</v>
      </c>
      <c r="AK61" s="1">
        <f t="shared" si="99"/>
        <v>-5.6579883673342213E-2</v>
      </c>
      <c r="AL61" s="1">
        <f t="shared" si="100"/>
        <v>200.07529274473922</v>
      </c>
      <c r="AM61" s="1">
        <f t="shared" si="101"/>
        <v>69.510150847811218</v>
      </c>
      <c r="AN61" s="1">
        <f t="shared" si="102"/>
        <v>-20.54307879946802</v>
      </c>
      <c r="AO61" s="1">
        <f t="shared" si="55"/>
        <v>0.27144547989916201</v>
      </c>
      <c r="AP61" s="1">
        <f t="shared" si="103"/>
        <v>200.07529274473922</v>
      </c>
      <c r="AQ61" s="1">
        <f t="shared" si="104"/>
        <v>69.510150847811218</v>
      </c>
      <c r="AR61" s="1">
        <f t="shared" si="105"/>
        <v>-20.54307879946802</v>
      </c>
      <c r="AT61" s="1">
        <v>1.41407130780885</v>
      </c>
      <c r="AU61" s="1">
        <v>6.2466356176479296</v>
      </c>
      <c r="AV61" s="1">
        <v>0.252679988091352</v>
      </c>
      <c r="AW61" s="1">
        <f t="shared" si="106"/>
        <v>0.91333201224991101</v>
      </c>
      <c r="AX61" s="1">
        <f t="shared" si="107"/>
        <v>1.1222326854133531</v>
      </c>
      <c r="AY61" s="1">
        <f t="shared" si="108"/>
        <v>0.38336782056580082</v>
      </c>
      <c r="AZ61" s="1">
        <f t="shared" si="56"/>
        <v>0.99893483435619279</v>
      </c>
      <c r="BA61" s="1">
        <f t="shared" si="57"/>
        <v>1.0366298633070714</v>
      </c>
      <c r="BB61" s="1">
        <f t="shared" si="58"/>
        <v>-0.39689485995097618</v>
      </c>
      <c r="BC61" s="1">
        <f t="shared" si="109"/>
        <v>0.61066940929897917</v>
      </c>
      <c r="BD61" s="1">
        <f t="shared" si="110"/>
        <v>-0.10272394865861059</v>
      </c>
      <c r="BE61" s="1">
        <f t="shared" si="111"/>
        <v>0.58986135376657367</v>
      </c>
      <c r="BF61" s="1">
        <f t="shared" si="112"/>
        <v>0.26829955134589295</v>
      </c>
      <c r="BG61" s="1">
        <f t="shared" si="113"/>
        <v>161.51389466728133</v>
      </c>
      <c r="BH61" s="1">
        <f t="shared" si="114"/>
        <v>-26.907920611537943</v>
      </c>
      <c r="BI61" s="1">
        <f t="shared" si="115"/>
        <v>25.956286123754346</v>
      </c>
      <c r="BJ61" s="1">
        <f t="shared" si="59"/>
        <v>0.252679988091352</v>
      </c>
      <c r="BK61" s="1">
        <f t="shared" si="116"/>
        <v>161.51389466728133</v>
      </c>
      <c r="BL61" s="1">
        <f t="shared" si="117"/>
        <v>-26.907920611537943</v>
      </c>
      <c r="BM61" s="1">
        <f t="shared" si="118"/>
        <v>25.956286123754346</v>
      </c>
    </row>
    <row r="62" spans="4:85" x14ac:dyDescent="0.25">
      <c r="D62" s="1">
        <v>1.0065312662891099</v>
      </c>
      <c r="E62" s="14">
        <v>4.25550133071921</v>
      </c>
      <c r="F62" s="1">
        <v>0.175085648520588</v>
      </c>
      <c r="G62" s="1">
        <f t="shared" si="80"/>
        <v>0.12665874962401563</v>
      </c>
      <c r="H62" s="1">
        <f t="shared" si="81"/>
        <v>1.9539778840740387</v>
      </c>
      <c r="I62" s="1">
        <f t="shared" si="82"/>
        <v>0.36315555492085771</v>
      </c>
      <c r="J62" s="1">
        <f t="shared" si="48"/>
        <v>1.1031401012643545</v>
      </c>
      <c r="K62" s="1">
        <f t="shared" si="49"/>
        <v>0.97749653243369983</v>
      </c>
      <c r="L62" s="1">
        <f t="shared" si="50"/>
        <v>-0.98117744840296117</v>
      </c>
      <c r="M62" s="1">
        <f t="shared" si="83"/>
        <v>0.62419099010941625</v>
      </c>
      <c r="N62" s="1">
        <f t="shared" si="84"/>
        <v>0.66884726974282671</v>
      </c>
      <c r="O62" s="1">
        <f t="shared" si="85"/>
        <v>-0.30146109894181466</v>
      </c>
      <c r="P62" s="1">
        <f t="shared" si="86"/>
        <v>-0.56777621333342343</v>
      </c>
      <c r="Q62" s="16">
        <f t="shared" si="87"/>
        <v>97.723158113098179</v>
      </c>
      <c r="R62" s="1">
        <f t="shared" si="88"/>
        <v>129.10109409991267</v>
      </c>
      <c r="S62" s="1">
        <f t="shared" si="89"/>
        <v>12.842648739565645</v>
      </c>
      <c r="T62" s="1">
        <f t="shared" si="51"/>
        <v>0</v>
      </c>
      <c r="U62" s="1">
        <f t="shared" si="90"/>
        <v>97.723158113098179</v>
      </c>
      <c r="V62" s="1">
        <f t="shared" si="91"/>
        <v>56.420491642657595</v>
      </c>
      <c r="W62" s="1">
        <f t="shared" si="92"/>
        <v>12.842648739565645</v>
      </c>
      <c r="Y62" s="1">
        <v>2.15039558390052</v>
      </c>
      <c r="Z62" s="1">
        <v>4.6166304262246101</v>
      </c>
      <c r="AA62" s="1">
        <v>0.179136783513905</v>
      </c>
      <c r="AB62" s="1">
        <f t="shared" si="93"/>
        <v>0.31949841361660491</v>
      </c>
      <c r="AC62" s="1">
        <f t="shared" si="94"/>
        <v>2.0552238654267496</v>
      </c>
      <c r="AD62" s="1">
        <f t="shared" si="95"/>
        <v>-0.70215745371334493</v>
      </c>
      <c r="AE62" s="1">
        <f t="shared" si="52"/>
        <v>0.89105543659060116</v>
      </c>
      <c r="AF62" s="1">
        <f t="shared" si="53"/>
        <v>1.4836668424527533</v>
      </c>
      <c r="AG62" s="1">
        <f t="shared" si="54"/>
        <v>1.0762963027118098</v>
      </c>
      <c r="AH62" s="1">
        <f t="shared" si="96"/>
        <v>0.71241668371300626</v>
      </c>
      <c r="AI62" s="1">
        <f t="shared" si="97"/>
        <v>-0.46681641892700393</v>
      </c>
      <c r="AJ62" s="1">
        <f t="shared" si="98"/>
        <v>-0.34407083693880203</v>
      </c>
      <c r="AK62" s="1">
        <f t="shared" si="99"/>
        <v>-0.51633816945725797</v>
      </c>
      <c r="AL62" s="1">
        <f t="shared" si="100"/>
        <v>75.781101815204238</v>
      </c>
      <c r="AM62" s="1">
        <f t="shared" si="101"/>
        <v>116.06351982673731</v>
      </c>
      <c r="AN62" s="1">
        <f t="shared" si="102"/>
        <v>11.566123356211671</v>
      </c>
      <c r="AO62" s="1">
        <f t="shared" si="55"/>
        <v>0</v>
      </c>
      <c r="AP62" s="1">
        <f t="shared" si="103"/>
        <v>75.781101815204238</v>
      </c>
      <c r="AQ62" s="1">
        <f t="shared" si="104"/>
        <v>43.752239532494599</v>
      </c>
      <c r="AR62" s="1">
        <f t="shared" si="105"/>
        <v>11.566123356211671</v>
      </c>
      <c r="AT62" s="1">
        <v>1.74257346466833</v>
      </c>
      <c r="AU62" s="1">
        <v>6.64072467283113</v>
      </c>
      <c r="AV62" s="1">
        <v>0.240841581139629</v>
      </c>
      <c r="AW62" s="1">
        <f t="shared" si="106"/>
        <v>1.0681048126205408</v>
      </c>
      <c r="AX62" s="1">
        <f t="shared" si="107"/>
        <v>1.150585510621428</v>
      </c>
      <c r="AY62" s="1">
        <f t="shared" si="108"/>
        <v>-0.42358292023368244</v>
      </c>
      <c r="AZ62" s="1">
        <f t="shared" si="56"/>
        <v>1.0054976781684433</v>
      </c>
      <c r="BA62" s="1">
        <f t="shared" si="57"/>
        <v>1.2131926450735253</v>
      </c>
      <c r="BB62" s="1">
        <f t="shared" si="58"/>
        <v>0.41272140346721398</v>
      </c>
      <c r="BC62" s="1">
        <f t="shared" si="109"/>
        <v>0.66560709697259057</v>
      </c>
      <c r="BD62" s="1">
        <f t="shared" si="110"/>
        <v>0.10682015953875627</v>
      </c>
      <c r="BE62" s="1">
        <f t="shared" si="111"/>
        <v>0.6429270851271176</v>
      </c>
      <c r="BF62" s="1">
        <f t="shared" si="112"/>
        <v>0.31399736192333105</v>
      </c>
      <c r="BG62" s="1">
        <f t="shared" si="113"/>
        <v>169.14024224702683</v>
      </c>
      <c r="BH62" s="1">
        <f t="shared" si="114"/>
        <v>-32.97034230345983</v>
      </c>
      <c r="BI62" s="1">
        <f t="shared" si="115"/>
        <v>-25.726736120901521</v>
      </c>
      <c r="BJ62" s="1">
        <f t="shared" si="59"/>
        <v>0.240841581139629</v>
      </c>
      <c r="BK62" s="1">
        <f t="shared" si="116"/>
        <v>169.14024224702683</v>
      </c>
      <c r="BL62" s="1">
        <f t="shared" si="117"/>
        <v>-32.97034230345983</v>
      </c>
      <c r="BM62" s="1">
        <f t="shared" si="118"/>
        <v>-25.726736120901521</v>
      </c>
    </row>
    <row r="63" spans="4:85" x14ac:dyDescent="0.25">
      <c r="D63" s="1">
        <v>1.3052710413008599</v>
      </c>
      <c r="E63" s="14">
        <v>5.60727246220792</v>
      </c>
      <c r="F63" s="1">
        <v>0.16729295735147801</v>
      </c>
      <c r="G63" s="1">
        <f t="shared" si="80"/>
        <v>0.65115611337580404</v>
      </c>
      <c r="H63" s="1">
        <f t="shared" si="81"/>
        <v>1.2001948215333642</v>
      </c>
      <c r="I63" s="1">
        <f t="shared" si="82"/>
        <v>0.59386785163814604</v>
      </c>
      <c r="J63" s="1">
        <f t="shared" si="48"/>
        <v>0.86162864048417775</v>
      </c>
      <c r="K63" s="1">
        <f t="shared" si="49"/>
        <v>0.98972229442499038</v>
      </c>
      <c r="L63" s="1">
        <f t="shared" si="50"/>
        <v>-0.65110514122387364</v>
      </c>
      <c r="M63" s="1">
        <f t="shared" si="83"/>
        <v>0.5554052804727504</v>
      </c>
      <c r="N63" s="1">
        <f t="shared" si="84"/>
        <v>0.5522479946195521</v>
      </c>
      <c r="O63" s="1">
        <f t="shared" si="85"/>
        <v>-0.26824015223297648</v>
      </c>
      <c r="P63" s="1">
        <f t="shared" si="86"/>
        <v>-0.28850108692152637</v>
      </c>
      <c r="Q63" s="16">
        <f t="shared" si="87"/>
        <v>86.464515279751751</v>
      </c>
      <c r="R63" s="1">
        <f t="shared" si="88"/>
        <v>73.134873700990227</v>
      </c>
      <c r="S63" s="1">
        <f t="shared" si="89"/>
        <v>7.3309800098494895</v>
      </c>
      <c r="T63" s="1">
        <f t="shared" si="51"/>
        <v>0</v>
      </c>
      <c r="U63" s="1">
        <f t="shared" si="90"/>
        <v>86.464515279751751</v>
      </c>
      <c r="V63" s="1">
        <f t="shared" si="91"/>
        <v>49.920311172115184</v>
      </c>
      <c r="W63" s="1">
        <f t="shared" si="92"/>
        <v>7.3309800098494895</v>
      </c>
      <c r="Y63" s="1">
        <v>2.0364892172182101</v>
      </c>
      <c r="Z63" s="1">
        <v>4.9705216190597898</v>
      </c>
      <c r="AA63" s="1">
        <v>0.23601530463030901</v>
      </c>
      <c r="AB63" s="1">
        <f t="shared" si="93"/>
        <v>0.43108441617753734</v>
      </c>
      <c r="AC63" s="1">
        <f t="shared" si="94"/>
        <v>1.6181507997753291</v>
      </c>
      <c r="AD63" s="1">
        <f t="shared" si="95"/>
        <v>-0.78638336001964282</v>
      </c>
      <c r="AE63" s="1">
        <f t="shared" si="52"/>
        <v>0.74776077154953557</v>
      </c>
      <c r="AF63" s="1">
        <f t="shared" si="53"/>
        <v>1.301474444403331</v>
      </c>
      <c r="AG63" s="1">
        <f t="shared" si="54"/>
        <v>0.94553198296327245</v>
      </c>
      <c r="AH63" s="1">
        <f t="shared" si="96"/>
        <v>0.61477056478586001</v>
      </c>
      <c r="AI63" s="1">
        <f t="shared" si="97"/>
        <v>-0.38079239175230151</v>
      </c>
      <c r="AJ63" s="1">
        <f t="shared" si="98"/>
        <v>-0.29691138288448976</v>
      </c>
      <c r="AK63" s="1">
        <f t="shared" si="99"/>
        <v>-0.45410654652851246</v>
      </c>
      <c r="AL63" s="1">
        <f t="shared" si="100"/>
        <v>81.284805609344957</v>
      </c>
      <c r="AM63" s="1">
        <f t="shared" si="101"/>
        <v>132.73705619330758</v>
      </c>
      <c r="AN63" s="1">
        <f t="shared" si="102"/>
        <v>15.750860011460158</v>
      </c>
      <c r="AO63" s="1">
        <f t="shared" si="55"/>
        <v>0</v>
      </c>
      <c r="AP63" s="1">
        <f t="shared" si="103"/>
        <v>81.284805609344957</v>
      </c>
      <c r="AQ63" s="1">
        <f t="shared" si="104"/>
        <v>46.929804399581712</v>
      </c>
      <c r="AR63" s="1">
        <f t="shared" si="105"/>
        <v>15.750860011460158</v>
      </c>
      <c r="AT63" s="1">
        <v>1.6957859181531101</v>
      </c>
      <c r="AU63" s="1">
        <v>7.2235524589713398</v>
      </c>
      <c r="AV63" s="1">
        <v>0.185102238828139</v>
      </c>
      <c r="AW63" s="1">
        <f t="shared" si="106"/>
        <v>1.2677139622731317</v>
      </c>
      <c r="AX63" s="1">
        <f t="shared" si="107"/>
        <v>1.1192415708642078</v>
      </c>
      <c r="AY63" s="1">
        <f t="shared" si="108"/>
        <v>-0.31120357332738391</v>
      </c>
      <c r="AZ63" s="1">
        <f t="shared" si="56"/>
        <v>1.0445622929447811</v>
      </c>
      <c r="BA63" s="1">
        <f t="shared" si="57"/>
        <v>1.3423932401925585</v>
      </c>
      <c r="BB63" s="1">
        <f t="shared" si="58"/>
        <v>0.28316577921736319</v>
      </c>
      <c r="BC63" s="1">
        <f t="shared" si="109"/>
        <v>0.7160866599412018</v>
      </c>
      <c r="BD63" s="1">
        <f t="shared" si="110"/>
        <v>7.3288696582748905E-2</v>
      </c>
      <c r="BE63" s="1">
        <f t="shared" si="111"/>
        <v>0.69168659869828442</v>
      </c>
      <c r="BF63" s="1">
        <f t="shared" si="112"/>
        <v>0.34743693657871672</v>
      </c>
      <c r="BG63" s="1">
        <f t="shared" si="113"/>
        <v>140.31513167340734</v>
      </c>
      <c r="BH63" s="1">
        <f t="shared" si="114"/>
        <v>-28.982687549330397</v>
      </c>
      <c r="BI63" s="1">
        <f t="shared" si="115"/>
        <v>-13.565901818263034</v>
      </c>
      <c r="BJ63" s="1">
        <f t="shared" si="59"/>
        <v>0.185102238828139</v>
      </c>
      <c r="BK63" s="1">
        <f t="shared" si="116"/>
        <v>140.31513167340734</v>
      </c>
      <c r="BL63" s="1">
        <f t="shared" si="117"/>
        <v>-28.982687549330397</v>
      </c>
      <c r="BM63" s="1">
        <f t="shared" si="118"/>
        <v>-13.565901818263034</v>
      </c>
    </row>
    <row r="64" spans="4:85" x14ac:dyDescent="0.25">
      <c r="D64" s="1">
        <v>1.5502068848006101</v>
      </c>
      <c r="E64" s="14">
        <v>5.6803941256653498</v>
      </c>
      <c r="F64" s="1">
        <v>0.24979444114035601</v>
      </c>
      <c r="G64" s="1">
        <f t="shared" si="80"/>
        <v>0.6526611764202519</v>
      </c>
      <c r="H64" s="1">
        <f t="shared" si="81"/>
        <v>0.98455985984861893</v>
      </c>
      <c r="I64" s="1">
        <f t="shared" si="82"/>
        <v>4.8787697102339676E-2</v>
      </c>
      <c r="J64" s="1">
        <f t="shared" si="48"/>
        <v>0.98241072435620624</v>
      </c>
      <c r="K64" s="1">
        <f t="shared" si="49"/>
        <v>0.65481031191266492</v>
      </c>
      <c r="L64" s="1">
        <f t="shared" si="50"/>
        <v>-5.5578015848228302E-2</v>
      </c>
      <c r="M64" s="1">
        <f t="shared" si="83"/>
        <v>0.49116631088066137</v>
      </c>
      <c r="N64" s="1">
        <f t="shared" si="84"/>
        <v>0.80741793890030489</v>
      </c>
      <c r="O64" s="1">
        <f t="shared" si="85"/>
        <v>-0.23721511234137801</v>
      </c>
      <c r="P64" s="1">
        <f t="shared" si="86"/>
        <v>0.12298546326607844</v>
      </c>
      <c r="Q64" s="16">
        <f t="shared" si="87"/>
        <v>205.28490649417006</v>
      </c>
      <c r="R64" s="1">
        <f t="shared" si="88"/>
        <v>23.201117309329305</v>
      </c>
      <c r="S64" s="1">
        <f t="shared" si="89"/>
        <v>49.527906888050993</v>
      </c>
      <c r="T64" s="1">
        <f t="shared" si="51"/>
        <v>0.24979444114035601</v>
      </c>
      <c r="U64" s="1">
        <f t="shared" si="90"/>
        <v>205.28490649417006</v>
      </c>
      <c r="V64" s="1">
        <f t="shared" si="91"/>
        <v>23.201117309329305</v>
      </c>
      <c r="W64" s="1">
        <f t="shared" si="92"/>
        <v>49.527906888050993</v>
      </c>
      <c r="Y64" s="1">
        <v>1.65915073303246</v>
      </c>
      <c r="Z64" s="1">
        <v>4.5714019453774801</v>
      </c>
      <c r="AA64" s="1">
        <v>0.122544723690849</v>
      </c>
      <c r="AB64" s="1">
        <f t="shared" si="93"/>
        <v>0.1285528331351628</v>
      </c>
      <c r="AC64" s="1">
        <f t="shared" si="94"/>
        <v>0.53241902650124251</v>
      </c>
      <c r="AD64" s="1">
        <f t="shared" si="95"/>
        <v>-0.12835955720800807</v>
      </c>
      <c r="AE64" s="1">
        <f t="shared" si="52"/>
        <v>0.50671003713994467</v>
      </c>
      <c r="AF64" s="1">
        <f t="shared" si="53"/>
        <v>0.15426182249646067</v>
      </c>
      <c r="AG64" s="1">
        <f t="shared" si="54"/>
        <v>0.16185862801004147</v>
      </c>
      <c r="AH64" s="1">
        <f t="shared" si="96"/>
        <v>0.19829155789092159</v>
      </c>
      <c r="AI64" s="1">
        <f t="shared" si="97"/>
        <v>-0.38197911179199068</v>
      </c>
      <c r="AJ64" s="1">
        <f t="shared" si="98"/>
        <v>-9.5767468450967619E-2</v>
      </c>
      <c r="AK64" s="1">
        <f t="shared" si="99"/>
        <v>-9.5471483636724169E-2</v>
      </c>
      <c r="AL64" s="1">
        <f t="shared" si="100"/>
        <v>41.796825462843671</v>
      </c>
      <c r="AM64" s="1">
        <f t="shared" si="101"/>
        <v>23.311666822012306</v>
      </c>
      <c r="AN64" s="1">
        <f t="shared" si="102"/>
        <v>-13.241263188161273</v>
      </c>
      <c r="AO64" s="1">
        <f t="shared" si="55"/>
        <v>0.122544723690849</v>
      </c>
      <c r="AP64" s="1">
        <f t="shared" si="103"/>
        <v>41.796825462843671</v>
      </c>
      <c r="AQ64" s="1">
        <f t="shared" si="104"/>
        <v>23.311666822012306</v>
      </c>
      <c r="AR64" s="1">
        <f t="shared" si="105"/>
        <v>-13.241263188161273</v>
      </c>
      <c r="AT64" s="1">
        <v>1.3141046803545</v>
      </c>
      <c r="AU64" s="1">
        <v>5.9595099467901003</v>
      </c>
      <c r="AV64" s="1">
        <v>0.22417501179204299</v>
      </c>
      <c r="AW64" s="1">
        <f t="shared" si="106"/>
        <v>0.80536430596105102</v>
      </c>
      <c r="AX64" s="1">
        <f t="shared" si="107"/>
        <v>1.2212549047833441</v>
      </c>
      <c r="AY64" s="1">
        <f t="shared" si="108"/>
        <v>0.5997047256698641</v>
      </c>
      <c r="AZ64" s="1">
        <f t="shared" si="56"/>
        <v>0.8999169318803335</v>
      </c>
      <c r="BA64" s="1">
        <f t="shared" si="57"/>
        <v>1.1267022788640615</v>
      </c>
      <c r="BB64" s="1">
        <f t="shared" si="58"/>
        <v>-0.62452310376504561</v>
      </c>
      <c r="BC64" s="1">
        <f t="shared" si="109"/>
        <v>0.60798576322331843</v>
      </c>
      <c r="BD64" s="1">
        <f t="shared" si="110"/>
        <v>-0.16163847336093179</v>
      </c>
      <c r="BE64" s="1">
        <f t="shared" si="111"/>
        <v>0.58726915071347374</v>
      </c>
      <c r="BF64" s="1">
        <f t="shared" si="112"/>
        <v>0.29161200793043057</v>
      </c>
      <c r="BG64" s="1">
        <f t="shared" si="113"/>
        <v>144.08471844998226</v>
      </c>
      <c r="BH64" s="1">
        <f t="shared" si="114"/>
        <v>-29.070820252622781</v>
      </c>
      <c r="BI64" s="1">
        <f t="shared" si="115"/>
        <v>36.235306671734676</v>
      </c>
      <c r="BJ64" s="1">
        <f t="shared" si="59"/>
        <v>0.22417501179204299</v>
      </c>
      <c r="BK64" s="1">
        <f t="shared" si="116"/>
        <v>144.08471844998226</v>
      </c>
      <c r="BL64" s="1">
        <f t="shared" si="117"/>
        <v>-29.070820252622781</v>
      </c>
      <c r="BM64" s="1">
        <f t="shared" si="118"/>
        <v>36.235306671734676</v>
      </c>
    </row>
    <row r="65" spans="4:65" x14ac:dyDescent="0.25">
      <c r="D65" s="1">
        <v>1.22783336898088</v>
      </c>
      <c r="E65" s="14">
        <v>4.10203798446629</v>
      </c>
      <c r="F65" s="1">
        <v>9.4572533865240005E-2</v>
      </c>
      <c r="G65" s="1">
        <f t="shared" si="80"/>
        <v>1.9664268671815269E-2</v>
      </c>
      <c r="H65" s="1">
        <f t="shared" si="81"/>
        <v>0.70896023050456103</v>
      </c>
      <c r="I65" s="1">
        <f t="shared" si="82"/>
        <v>0.11329593296288736</v>
      </c>
      <c r="J65" s="1">
        <f t="shared" si="48"/>
        <v>0.5592517139155696</v>
      </c>
      <c r="K65" s="1">
        <f t="shared" si="49"/>
        <v>0.16937278526080662</v>
      </c>
      <c r="L65" s="1">
        <f t="shared" si="50"/>
        <v>-0.3059686330711322</v>
      </c>
      <c r="M65" s="1">
        <f t="shared" si="83"/>
        <v>0.21858734975291286</v>
      </c>
      <c r="N65" s="1">
        <f t="shared" si="84"/>
        <v>0.38863266714089229</v>
      </c>
      <c r="O65" s="1">
        <f t="shared" si="85"/>
        <v>-0.10556958321320992</v>
      </c>
      <c r="P65" s="1">
        <f t="shared" si="86"/>
        <v>-0.21211084744881689</v>
      </c>
      <c r="Q65" s="16">
        <f t="shared" si="87"/>
        <v>30.375319831237519</v>
      </c>
      <c r="R65" s="1">
        <f t="shared" si="88"/>
        <v>28.906537973223816</v>
      </c>
      <c r="S65" s="1">
        <f t="shared" si="89"/>
        <v>9.730605142436616</v>
      </c>
      <c r="T65" s="1">
        <f t="shared" si="51"/>
        <v>0</v>
      </c>
      <c r="U65" s="1">
        <f t="shared" si="90"/>
        <v>30.375319831237519</v>
      </c>
      <c r="V65" s="1">
        <f t="shared" si="91"/>
        <v>17.537199081285959</v>
      </c>
      <c r="W65" s="1">
        <f t="shared" si="92"/>
        <v>9.730605142436616</v>
      </c>
      <c r="Y65" s="1">
        <v>2.04096916675902</v>
      </c>
      <c r="Z65" s="1">
        <v>4.1160630535188902</v>
      </c>
      <c r="AA65" s="1">
        <v>0.114466009670564</v>
      </c>
      <c r="AB65" s="1">
        <f t="shared" si="93"/>
        <v>4.079657334526663E-2</v>
      </c>
      <c r="AC65" s="1">
        <f t="shared" si="94"/>
        <v>1.3647560937525705</v>
      </c>
      <c r="AD65" s="1">
        <f t="shared" si="95"/>
        <v>-0.16268668525766194</v>
      </c>
      <c r="AE65" s="1">
        <f t="shared" si="52"/>
        <v>0.96160713869566083</v>
      </c>
      <c r="AF65" s="1">
        <f t="shared" si="53"/>
        <v>0.44394552840217627</v>
      </c>
      <c r="AG65" s="1">
        <f t="shared" si="54"/>
        <v>0.63062728674431701</v>
      </c>
      <c r="AH65" s="1">
        <f t="shared" si="96"/>
        <v>0.42166580012935112</v>
      </c>
      <c r="AI65" s="1">
        <f t="shared" si="97"/>
        <v>-0.64118169713882589</v>
      </c>
      <c r="AJ65" s="1">
        <f t="shared" si="98"/>
        <v>-0.20364894320389249</v>
      </c>
      <c r="AK65" s="1">
        <f t="shared" si="99"/>
        <v>-0.41262844920497332</v>
      </c>
      <c r="AL65" s="1">
        <f t="shared" si="100"/>
        <v>60.428635870469108</v>
      </c>
      <c r="AM65" s="1">
        <f t="shared" si="101"/>
        <v>65.089898394614011</v>
      </c>
      <c r="AN65" s="1">
        <f t="shared" si="102"/>
        <v>-16.508939260736671</v>
      </c>
      <c r="AO65" s="1">
        <f t="shared" si="55"/>
        <v>0</v>
      </c>
      <c r="AP65" s="1">
        <f t="shared" si="103"/>
        <v>60.428635870469108</v>
      </c>
      <c r="AQ65" s="1">
        <f t="shared" si="104"/>
        <v>34.88848918657721</v>
      </c>
      <c r="AR65" s="1">
        <f t="shared" si="105"/>
        <v>-16.508939260736671</v>
      </c>
      <c r="AT65" s="1">
        <v>1.14611757582934</v>
      </c>
      <c r="AU65" s="1">
        <v>4.9676669872509596</v>
      </c>
      <c r="AV65" s="1">
        <v>0.265334824773302</v>
      </c>
      <c r="AW65" s="1">
        <f t="shared" si="106"/>
        <v>0.40971222809252505</v>
      </c>
      <c r="AX65" s="1">
        <f t="shared" si="107"/>
        <v>1.4816222913438406</v>
      </c>
      <c r="AY65" s="1">
        <f t="shared" si="108"/>
        <v>0.73482741643313765</v>
      </c>
      <c r="AZ65" s="1">
        <f t="shared" si="56"/>
        <v>0.74789744745017872</v>
      </c>
      <c r="BA65" s="1">
        <f t="shared" si="57"/>
        <v>1.143437071986187</v>
      </c>
      <c r="BB65" s="1">
        <f t="shared" si="58"/>
        <v>-0.88775347322448606</v>
      </c>
      <c r="BC65" s="1">
        <f t="shared" si="109"/>
        <v>0.56740035583090975</v>
      </c>
      <c r="BD65" s="1">
        <f t="shared" si="110"/>
        <v>-0.22976750622640785</v>
      </c>
      <c r="BE65" s="1">
        <f t="shared" si="111"/>
        <v>0.54806665754268291</v>
      </c>
      <c r="BF65" s="1">
        <f t="shared" si="112"/>
        <v>0.29594329110628742</v>
      </c>
      <c r="BG65" s="1">
        <f t="shared" si="113"/>
        <v>160.78958687710869</v>
      </c>
      <c r="BH65" s="1">
        <f t="shared" si="114"/>
        <v>-38.210650286012253</v>
      </c>
      <c r="BI65" s="1">
        <f t="shared" si="115"/>
        <v>60.965321003182467</v>
      </c>
      <c r="BJ65" s="1">
        <f t="shared" si="59"/>
        <v>0.265334824773302</v>
      </c>
      <c r="BK65" s="1">
        <f t="shared" si="116"/>
        <v>160.78958687710869</v>
      </c>
      <c r="BL65" s="1">
        <f t="shared" si="117"/>
        <v>-38.210650286012253</v>
      </c>
      <c r="BM65" s="1">
        <f t="shared" si="118"/>
        <v>60.965321003182467</v>
      </c>
    </row>
    <row r="66" spans="4:65" x14ac:dyDescent="0.25">
      <c r="D66" s="1">
        <v>1.41472220945839</v>
      </c>
      <c r="E66" s="14">
        <v>5.4585869701875298</v>
      </c>
      <c r="F66" s="1">
        <v>9.8944338476799995E-2</v>
      </c>
      <c r="G66" s="1">
        <f t="shared" si="80"/>
        <v>0.55819458236114039</v>
      </c>
      <c r="H66" s="1">
        <f t="shared" si="81"/>
        <v>1.020102003589356</v>
      </c>
      <c r="I66" s="1">
        <f t="shared" si="82"/>
        <v>0.3508430134674167</v>
      </c>
      <c r="J66" s="1">
        <f t="shared" si="48"/>
        <v>0.90119619360339687</v>
      </c>
      <c r="K66" s="1">
        <f t="shared" si="49"/>
        <v>0.67710039234709962</v>
      </c>
      <c r="L66" s="1">
        <f t="shared" si="50"/>
        <v>-0.40481564262037539</v>
      </c>
      <c r="M66" s="1">
        <f t="shared" si="83"/>
        <v>0.47348897578514892</v>
      </c>
      <c r="N66" s="1">
        <f t="shared" si="84"/>
        <v>0.6490913107501266</v>
      </c>
      <c r="O66" s="1">
        <f t="shared" si="85"/>
        <v>-0.2286776150870172</v>
      </c>
      <c r="P66" s="1">
        <f t="shared" si="86"/>
        <v>-0.16338840807422339</v>
      </c>
      <c r="Q66" s="16">
        <f t="shared" si="87"/>
        <v>60.467877265727083</v>
      </c>
      <c r="R66" s="1">
        <f t="shared" si="88"/>
        <v>32.938964192734794</v>
      </c>
      <c r="S66" s="1">
        <f t="shared" si="89"/>
        <v>12.516956649111778</v>
      </c>
      <c r="T66" s="1">
        <f t="shared" si="51"/>
        <v>9.8944338476799995E-2</v>
      </c>
      <c r="U66" s="1">
        <f t="shared" si="90"/>
        <v>60.467877265727083</v>
      </c>
      <c r="V66" s="1">
        <f t="shared" si="91"/>
        <v>32.938964192734794</v>
      </c>
      <c r="W66" s="1">
        <f t="shared" si="92"/>
        <v>12.516956649111778</v>
      </c>
      <c r="Y66" s="1">
        <v>1.7343040796272799</v>
      </c>
      <c r="Z66" s="1">
        <v>5.2703954127720598</v>
      </c>
      <c r="AA66" s="1">
        <v>0.13297564075948001</v>
      </c>
      <c r="AB66" s="1">
        <f t="shared" si="93"/>
        <v>0.46785026609234165</v>
      </c>
      <c r="AC66" s="1">
        <f t="shared" si="94"/>
        <v>0.98020147814086145</v>
      </c>
      <c r="AD66" s="1">
        <f t="shared" si="95"/>
        <v>-0.35110259044796505</v>
      </c>
      <c r="AE66" s="1">
        <f t="shared" si="52"/>
        <v>0.85384499364813649</v>
      </c>
      <c r="AF66" s="1">
        <f t="shared" si="53"/>
        <v>0.59420675058506645</v>
      </c>
      <c r="AG66" s="1">
        <f t="shared" si="54"/>
        <v>0.41478424008868614</v>
      </c>
      <c r="AH66" s="1">
        <f t="shared" si="96"/>
        <v>0.43441552326996091</v>
      </c>
      <c r="AI66" s="1">
        <f t="shared" si="97"/>
        <v>-0.60690119710824253</v>
      </c>
      <c r="AJ66" s="1">
        <f t="shared" si="98"/>
        <v>-0.20980658663366769</v>
      </c>
      <c r="AK66" s="1">
        <f t="shared" si="99"/>
        <v>-0.19318175558778447</v>
      </c>
      <c r="AL66" s="1">
        <f t="shared" si="100"/>
        <v>74.335035926034124</v>
      </c>
      <c r="AM66" s="1">
        <f t="shared" si="101"/>
        <v>46.512671600230391</v>
      </c>
      <c r="AN66" s="1">
        <f t="shared" si="102"/>
        <v>-16.190151893314571</v>
      </c>
      <c r="AO66" s="1">
        <f t="shared" si="55"/>
        <v>0</v>
      </c>
      <c r="AP66" s="1">
        <f t="shared" si="103"/>
        <v>74.335035926034124</v>
      </c>
      <c r="AQ66" s="1">
        <f t="shared" si="104"/>
        <v>42.9173530021163</v>
      </c>
      <c r="AR66" s="1">
        <f t="shared" si="105"/>
        <v>-16.190151893314571</v>
      </c>
      <c r="AT66" s="1">
        <v>1.5599857726369599</v>
      </c>
      <c r="AU66" s="1">
        <v>6.4978122888492997</v>
      </c>
      <c r="AV66" s="1">
        <v>0.11442635927976599</v>
      </c>
      <c r="AW66" s="1">
        <f t="shared" si="106"/>
        <v>1.0096342413384325</v>
      </c>
      <c r="AX66" s="1">
        <f t="shared" si="107"/>
        <v>1.0682571941223238</v>
      </c>
      <c r="AY66" s="1">
        <f t="shared" si="108"/>
        <v>2.7112916336697792E-2</v>
      </c>
      <c r="AZ66" s="1">
        <f t="shared" si="56"/>
        <v>1.0676641776081912</v>
      </c>
      <c r="BA66" s="1">
        <f t="shared" si="57"/>
        <v>1.0102272578525651</v>
      </c>
      <c r="BB66" s="1">
        <f t="shared" si="58"/>
        <v>-2.7740276545175309E-2</v>
      </c>
      <c r="BC66" s="1">
        <f t="shared" si="109"/>
        <v>0.62336743063822697</v>
      </c>
      <c r="BD66" s="1">
        <f t="shared" si="110"/>
        <v>-7.1797118863023788E-3</v>
      </c>
      <c r="BE66" s="1">
        <f t="shared" si="111"/>
        <v>0.60212670052092288</v>
      </c>
      <c r="BF66" s="1">
        <f t="shared" si="112"/>
        <v>0.26146605421393887</v>
      </c>
      <c r="BG66" s="1">
        <f t="shared" si="113"/>
        <v>74.294989733181822</v>
      </c>
      <c r="BH66" s="1">
        <f t="shared" si="114"/>
        <v>-11.066740394934005</v>
      </c>
      <c r="BI66" s="1">
        <f t="shared" si="115"/>
        <v>0.82154829182722555</v>
      </c>
      <c r="BJ66" s="1">
        <f t="shared" si="59"/>
        <v>0.11442635927976599</v>
      </c>
      <c r="BK66" s="1">
        <f t="shared" si="116"/>
        <v>74.294989733181822</v>
      </c>
      <c r="BL66" s="1">
        <f t="shared" si="117"/>
        <v>-11.066740394934005</v>
      </c>
      <c r="BM66" s="1">
        <f t="shared" si="118"/>
        <v>0.82154829182722555</v>
      </c>
    </row>
    <row r="67" spans="4:65" x14ac:dyDescent="0.25">
      <c r="D67" s="1">
        <v>1.3163669705416301</v>
      </c>
      <c r="E67" s="14">
        <v>5.1798832663586598</v>
      </c>
      <c r="F67" s="1">
        <v>0.19214186570041</v>
      </c>
      <c r="G67" s="1">
        <f t="shared" si="80"/>
        <v>0.44561856366710501</v>
      </c>
      <c r="H67" s="1">
        <f t="shared" si="81"/>
        <v>1.0958795316224594</v>
      </c>
      <c r="I67" s="1">
        <f t="shared" si="82"/>
        <v>0.51832362778147423</v>
      </c>
      <c r="J67" s="1">
        <f t="shared" si="48"/>
        <v>0.80216849416896485</v>
      </c>
      <c r="K67" s="1">
        <f t="shared" si="49"/>
        <v>0.73932960112059964</v>
      </c>
      <c r="L67" s="1">
        <f t="shared" si="50"/>
        <v>-0.61104994321922723</v>
      </c>
      <c r="M67" s="1">
        <f t="shared" si="83"/>
        <v>0.46244942858686933</v>
      </c>
      <c r="N67" s="1">
        <f t="shared" si="84"/>
        <v>0.51287566090319592</v>
      </c>
      <c r="O67" s="1">
        <f t="shared" si="85"/>
        <v>-0.22334592321233951</v>
      </c>
      <c r="P67" s="1">
        <f t="shared" si="86"/>
        <v>-0.31980065852288425</v>
      </c>
      <c r="Q67" s="16">
        <f t="shared" si="87"/>
        <v>87.256645491346006</v>
      </c>
      <c r="R67" s="1">
        <f t="shared" si="88"/>
        <v>86.995061689735323</v>
      </c>
      <c r="S67" s="1">
        <f t="shared" si="89"/>
        <v>12.107740335198018</v>
      </c>
      <c r="T67" s="1">
        <f t="shared" si="51"/>
        <v>0</v>
      </c>
      <c r="U67" s="1">
        <f t="shared" si="90"/>
        <v>87.256645491346006</v>
      </c>
      <c r="V67" s="1">
        <f t="shared" si="91"/>
        <v>50.377647763012362</v>
      </c>
      <c r="W67" s="1">
        <f t="shared" si="92"/>
        <v>12.107740335198018</v>
      </c>
      <c r="Y67" s="1">
        <v>1.6743367755591201</v>
      </c>
      <c r="Z67" s="1">
        <v>5.2972687186174996</v>
      </c>
      <c r="AA67" s="1">
        <v>0.18558972346908001</v>
      </c>
      <c r="AB67" s="1">
        <f t="shared" si="93"/>
        <v>0.47188103664054487</v>
      </c>
      <c r="AC67" s="1">
        <f t="shared" si="94"/>
        <v>0.92886616308680114</v>
      </c>
      <c r="AD67" s="1">
        <f t="shared" si="95"/>
        <v>-0.22636179118543839</v>
      </c>
      <c r="AE67" s="1">
        <f t="shared" si="52"/>
        <v>0.87744357998494005</v>
      </c>
      <c r="AF67" s="1">
        <f t="shared" si="53"/>
        <v>0.52330361974240602</v>
      </c>
      <c r="AG67" s="1">
        <f t="shared" si="54"/>
        <v>0.26850462583875412</v>
      </c>
      <c r="AH67" s="1">
        <f t="shared" si="96"/>
        <v>0.42022415991820383</v>
      </c>
      <c r="AI67" s="1">
        <f t="shared" si="97"/>
        <v>-0.66450174940227547</v>
      </c>
      <c r="AJ67" s="1">
        <f t="shared" si="98"/>
        <v>-0.20295268444781051</v>
      </c>
      <c r="AK67" s="1">
        <f t="shared" si="99"/>
        <v>-8.9167553982715475E-2</v>
      </c>
      <c r="AL67" s="1">
        <f t="shared" si="100"/>
        <v>117.07127920475669</v>
      </c>
      <c r="AM67" s="1">
        <f t="shared" si="101"/>
        <v>48.501507158948158</v>
      </c>
      <c r="AN67" s="1">
        <f t="shared" si="102"/>
        <v>-29.042693483188376</v>
      </c>
      <c r="AO67" s="1">
        <f t="shared" si="55"/>
        <v>0.18558972346908001</v>
      </c>
      <c r="AP67" s="1">
        <f t="shared" si="103"/>
        <v>117.07127920475669</v>
      </c>
      <c r="AQ67" s="1">
        <f t="shared" si="104"/>
        <v>48.501507158948158</v>
      </c>
      <c r="AR67" s="1">
        <f t="shared" si="105"/>
        <v>-29.042693483188376</v>
      </c>
      <c r="AT67" s="1">
        <v>1.60672949262217</v>
      </c>
      <c r="AU67" s="1">
        <v>8.4668331219041502</v>
      </c>
      <c r="AV67" s="1">
        <v>0.18077269796278</v>
      </c>
      <c r="AW67" s="1">
        <f t="shared" si="106"/>
        <v>1.6052321606860342</v>
      </c>
      <c r="AX67" s="1">
        <f t="shared" si="107"/>
        <v>1.0632810541442106</v>
      </c>
      <c r="AY67" s="1">
        <f t="shared" si="108"/>
        <v>-8.8004158121018305E-2</v>
      </c>
      <c r="AZ67" s="1">
        <f t="shared" si="56"/>
        <v>1.0576614228815258</v>
      </c>
      <c r="BA67" s="1">
        <f t="shared" si="57"/>
        <v>1.6108517919487191</v>
      </c>
      <c r="BB67" s="1">
        <f t="shared" si="58"/>
        <v>6.8319735142135754E-2</v>
      </c>
      <c r="BC67" s="1">
        <f t="shared" si="109"/>
        <v>0.80055396444907345</v>
      </c>
      <c r="BD67" s="1">
        <f t="shared" si="110"/>
        <v>1.7682448611144454E-2</v>
      </c>
      <c r="BE67" s="1">
        <f t="shared" si="111"/>
        <v>0.77327574959946066</v>
      </c>
      <c r="BF67" s="1">
        <f t="shared" si="112"/>
        <v>0.41691912259385189</v>
      </c>
      <c r="BG67" s="1">
        <f t="shared" si="113"/>
        <v>154.53058098542928</v>
      </c>
      <c r="BH67" s="1">
        <f t="shared" si="114"/>
        <v>-36.619931107622563</v>
      </c>
      <c r="BI67" s="1">
        <f t="shared" si="115"/>
        <v>-3.1965039420248296</v>
      </c>
      <c r="BJ67" s="1">
        <f t="shared" si="59"/>
        <v>0.18077269796278</v>
      </c>
      <c r="BK67" s="1">
        <f t="shared" si="116"/>
        <v>154.53058098542928</v>
      </c>
      <c r="BL67" s="1">
        <f t="shared" si="117"/>
        <v>-36.619931107622563</v>
      </c>
      <c r="BM67" s="1">
        <f t="shared" si="118"/>
        <v>-3.1965039420248296</v>
      </c>
    </row>
    <row r="68" spans="4:65" x14ac:dyDescent="0.25">
      <c r="D68" s="1">
        <v>1.5542457031846699</v>
      </c>
      <c r="E68" s="14">
        <v>6.9822499672395901</v>
      </c>
      <c r="F68" s="1">
        <v>0.246819993034705</v>
      </c>
      <c r="G68" s="1">
        <f t="shared" si="80"/>
        <v>1.1888063845495596</v>
      </c>
      <c r="H68" s="1">
        <f t="shared" si="81"/>
        <v>1.081303987305352</v>
      </c>
      <c r="I68" s="1">
        <f t="shared" si="82"/>
        <v>4.1697476246273818E-2</v>
      </c>
      <c r="J68" s="1">
        <f t="shared" si="48"/>
        <v>1.0799534455804232</v>
      </c>
      <c r="K68" s="1">
        <f t="shared" si="49"/>
        <v>1.1901569262744884</v>
      </c>
      <c r="L68" s="1">
        <f t="shared" si="50"/>
        <v>-3.9895727707984149E-2</v>
      </c>
      <c r="M68" s="1">
        <f t="shared" si="83"/>
        <v>0.6810331115564735</v>
      </c>
      <c r="N68" s="1">
        <f t="shared" si="84"/>
        <v>0.89307289035679482</v>
      </c>
      <c r="O68" s="1">
        <f t="shared" si="85"/>
        <v>-0.32891373550520081</v>
      </c>
      <c r="P68" s="1">
        <f t="shared" si="86"/>
        <v>0.27466185250330133</v>
      </c>
      <c r="Q68" s="16">
        <f t="shared" si="87"/>
        <v>241.14582044105083</v>
      </c>
      <c r="R68" s="1">
        <f t="shared" si="88"/>
        <v>-5.5686527871526081</v>
      </c>
      <c r="S68" s="1">
        <f t="shared" si="89"/>
        <v>39.90802715134857</v>
      </c>
      <c r="T68" s="1">
        <f t="shared" si="51"/>
        <v>0.246819993034705</v>
      </c>
      <c r="U68" s="1">
        <f t="shared" si="90"/>
        <v>241.14582044105083</v>
      </c>
      <c r="V68" s="1">
        <f t="shared" si="91"/>
        <v>-5.5686527871526081</v>
      </c>
      <c r="W68" s="1">
        <f t="shared" si="92"/>
        <v>39.90802715134857</v>
      </c>
      <c r="Y68" s="1">
        <v>1.7149382724252</v>
      </c>
      <c r="Z68" s="1">
        <v>6.2203490135427897</v>
      </c>
      <c r="AA68" s="1">
        <v>0.23584570659697099</v>
      </c>
      <c r="AB68" s="1">
        <f t="shared" si="93"/>
        <v>0.90146824247210489</v>
      </c>
      <c r="AC68" s="1">
        <f t="shared" si="94"/>
        <v>1.1099513902680045</v>
      </c>
      <c r="AD68" s="1">
        <f t="shared" si="95"/>
        <v>-0.35304543630015262</v>
      </c>
      <c r="AE68" s="1">
        <f t="shared" si="52"/>
        <v>1.0052762590861382</v>
      </c>
      <c r="AF68" s="1">
        <f t="shared" si="53"/>
        <v>1.0061433736539713</v>
      </c>
      <c r="AG68" s="1">
        <f t="shared" si="54"/>
        <v>0.36811302319962602</v>
      </c>
      <c r="AH68" s="1">
        <f t="shared" si="96"/>
        <v>0.60342588982203271</v>
      </c>
      <c r="AI68" s="1">
        <f t="shared" si="97"/>
        <v>-0.74565531933177764</v>
      </c>
      <c r="AJ68" s="1">
        <f t="shared" si="98"/>
        <v>-0.29143232561528187</v>
      </c>
      <c r="AK68" s="1">
        <f t="shared" si="99"/>
        <v>-4.7523478319351442E-2</v>
      </c>
      <c r="AL68" s="1">
        <f t="shared" si="100"/>
        <v>177.40404975228191</v>
      </c>
      <c r="AM68" s="1">
        <f t="shared" si="101"/>
        <v>59.138862968225247</v>
      </c>
      <c r="AN68" s="1">
        <f t="shared" si="102"/>
        <v>-28.405224402783073</v>
      </c>
      <c r="AO68" s="1">
        <f t="shared" si="55"/>
        <v>0.23584570659697099</v>
      </c>
      <c r="AP68" s="1">
        <f t="shared" si="103"/>
        <v>177.40404975228191</v>
      </c>
      <c r="AQ68" s="1">
        <f t="shared" si="104"/>
        <v>59.138862968225247</v>
      </c>
      <c r="AR68" s="1">
        <f t="shared" si="105"/>
        <v>-28.405224402783073</v>
      </c>
      <c r="AT68" s="1">
        <v>1.6033243220934901</v>
      </c>
      <c r="AU68" s="1">
        <v>7.1476430235881496</v>
      </c>
      <c r="AV68" s="1">
        <v>0.210798739466176</v>
      </c>
      <c r="AW68" s="1">
        <f t="shared" si="106"/>
        <v>1.2445266553804739</v>
      </c>
      <c r="AX68" s="1">
        <f t="shared" si="107"/>
        <v>1.0841565003993285</v>
      </c>
      <c r="AY68" s="1">
        <f t="shared" si="108"/>
        <v>-8.1837885142609076E-2</v>
      </c>
      <c r="AZ68" s="1">
        <f t="shared" si="56"/>
        <v>1.0790058334842083</v>
      </c>
      <c r="BA68" s="1">
        <f t="shared" si="57"/>
        <v>1.2496773222955939</v>
      </c>
      <c r="BB68" s="1">
        <f t="shared" si="58"/>
        <v>7.6451924916971836E-2</v>
      </c>
      <c r="BC68" s="1">
        <f t="shared" si="109"/>
        <v>0.69860494673394069</v>
      </c>
      <c r="BD68" s="1">
        <f t="shared" si="110"/>
        <v>1.9787214203260007E-2</v>
      </c>
      <c r="BE68" s="1">
        <f t="shared" si="111"/>
        <v>0.67480056042361225</v>
      </c>
      <c r="BF68" s="1">
        <f t="shared" si="112"/>
        <v>0.32344029124282064</v>
      </c>
      <c r="BG68" s="1">
        <f t="shared" si="113"/>
        <v>155.04664589868329</v>
      </c>
      <c r="BH68" s="1">
        <f t="shared" si="114"/>
        <v>-29.041340530756894</v>
      </c>
      <c r="BI68" s="1">
        <f t="shared" si="115"/>
        <v>-4.1711198115944583</v>
      </c>
      <c r="BJ68" s="1">
        <f t="shared" si="59"/>
        <v>0.210798739466176</v>
      </c>
      <c r="BK68" s="1">
        <f t="shared" si="116"/>
        <v>155.04664589868329</v>
      </c>
      <c r="BL68" s="1">
        <f t="shared" si="117"/>
        <v>-29.041340530756894</v>
      </c>
      <c r="BM68" s="1">
        <f t="shared" si="118"/>
        <v>-4.1711198115944583</v>
      </c>
    </row>
    <row r="69" spans="4:65" x14ac:dyDescent="0.25">
      <c r="D69" s="1">
        <v>1.36939948541332</v>
      </c>
      <c r="E69" s="14">
        <v>4.1313329641534402</v>
      </c>
      <c r="F69" s="1">
        <v>0.11489789837995699</v>
      </c>
      <c r="G69" s="1">
        <f t="shared" si="80"/>
        <v>1.1227473227809634E-2</v>
      </c>
      <c r="H69" s="1">
        <f t="shared" si="81"/>
        <v>0.23886852992162622</v>
      </c>
      <c r="I69" s="1">
        <f t="shared" si="82"/>
        <v>8.8358499922636058E-2</v>
      </c>
      <c r="J69" s="1">
        <f t="shared" si="48"/>
        <v>0.1951237690990531</v>
      </c>
      <c r="K69" s="1">
        <f t="shared" si="49"/>
        <v>5.4972234050382734E-2</v>
      </c>
      <c r="L69" s="1">
        <f t="shared" si="50"/>
        <v>-0.12590362976349473</v>
      </c>
      <c r="M69" s="1">
        <f t="shared" si="83"/>
        <v>7.5028800944830734E-2</v>
      </c>
      <c r="N69" s="1">
        <f t="shared" si="84"/>
        <v>0.13063795686780039</v>
      </c>
      <c r="O69" s="1">
        <f t="shared" si="85"/>
        <v>-3.6236128274056811E-2</v>
      </c>
      <c r="P69" s="1">
        <f t="shared" si="86"/>
        <v>-9.1092577872859737E-2</v>
      </c>
      <c r="Q69" s="16">
        <f t="shared" si="87"/>
        <v>11.858036781731222</v>
      </c>
      <c r="R69" s="1">
        <f t="shared" si="88"/>
        <v>14.012909836196586</v>
      </c>
      <c r="S69" s="1">
        <f t="shared" si="89"/>
        <v>3.8993555626237608</v>
      </c>
      <c r="T69" s="1">
        <f t="shared" si="51"/>
        <v>0</v>
      </c>
      <c r="U69" s="1">
        <f t="shared" si="90"/>
        <v>11.858036781731222</v>
      </c>
      <c r="V69" s="1">
        <f t="shared" si="91"/>
        <v>6.8462407279930044</v>
      </c>
      <c r="W69" s="1">
        <f t="shared" si="92"/>
        <v>3.8993555626237608</v>
      </c>
      <c r="Y69" s="1">
        <v>1.5915143262051801</v>
      </c>
      <c r="Z69" s="1">
        <v>4.9816507915927897</v>
      </c>
      <c r="AA69" s="1">
        <v>0.220434941208486</v>
      </c>
      <c r="AB69" s="1">
        <f t="shared" si="93"/>
        <v>0.31014474603027581</v>
      </c>
      <c r="AC69" s="1">
        <f t="shared" si="94"/>
        <v>0.76489270923923591</v>
      </c>
      <c r="AD69" s="1">
        <f t="shared" si="95"/>
        <v>-4.0807243230662586E-2</v>
      </c>
      <c r="AE69" s="1">
        <f t="shared" si="52"/>
        <v>0.7630071381323108</v>
      </c>
      <c r="AF69" s="1">
        <f t="shared" si="53"/>
        <v>0.31203031713720092</v>
      </c>
      <c r="AG69" s="1">
        <f t="shared" si="54"/>
        <v>5.0190988653811629E-2</v>
      </c>
      <c r="AH69" s="1">
        <f t="shared" si="96"/>
        <v>0.32251123658085351</v>
      </c>
      <c r="AI69" s="1">
        <f t="shared" si="97"/>
        <v>-0.6252775271598725</v>
      </c>
      <c r="AJ69" s="1">
        <f t="shared" si="98"/>
        <v>-0.1557609663409352</v>
      </c>
      <c r="AK69" s="1">
        <f t="shared" si="99"/>
        <v>3.8773808414854311E-2</v>
      </c>
      <c r="AL69" s="1">
        <f t="shared" si="100"/>
        <v>134.09432564865577</v>
      </c>
      <c r="AM69" s="1">
        <f t="shared" si="101"/>
        <v>27.081854970368632</v>
      </c>
      <c r="AN69" s="1">
        <f t="shared" si="102"/>
        <v>-39.181387135670619</v>
      </c>
      <c r="AO69" s="1">
        <f t="shared" si="55"/>
        <v>0.220434941208486</v>
      </c>
      <c r="AP69" s="1">
        <f t="shared" si="103"/>
        <v>134.09432564865577</v>
      </c>
      <c r="AQ69" s="1">
        <f t="shared" si="104"/>
        <v>27.081854970368632</v>
      </c>
      <c r="AR69" s="1">
        <f t="shared" si="105"/>
        <v>-39.181387135670619</v>
      </c>
      <c r="AT69" s="1">
        <v>1.1118202072063199</v>
      </c>
      <c r="AU69" s="1">
        <v>4.6383861511024103</v>
      </c>
      <c r="AV69" s="1">
        <v>0.19904284992508101</v>
      </c>
      <c r="AW69" s="1">
        <f t="shared" si="106"/>
        <v>0.26870921185545099</v>
      </c>
      <c r="AX69" s="1">
        <f t="shared" si="107"/>
        <v>1.5336868464493281</v>
      </c>
      <c r="AY69" s="1">
        <f t="shared" si="108"/>
        <v>0.62168944246395252</v>
      </c>
      <c r="AZ69" s="1">
        <f t="shared" si="56"/>
        <v>0.79155731251920269</v>
      </c>
      <c r="BA69" s="1">
        <f t="shared" si="57"/>
        <v>1.0108387457855765</v>
      </c>
      <c r="BB69" s="1">
        <f t="shared" si="58"/>
        <v>-0.88006748612420704</v>
      </c>
      <c r="BC69" s="1">
        <f t="shared" si="109"/>
        <v>0.54071881749143369</v>
      </c>
      <c r="BD69" s="1">
        <f t="shared" si="110"/>
        <v>-0.22777822638444339</v>
      </c>
      <c r="BE69" s="1">
        <f t="shared" si="111"/>
        <v>0.52229427057546096</v>
      </c>
      <c r="BF69" s="1">
        <f t="shared" si="112"/>
        <v>0.26162431893685284</v>
      </c>
      <c r="BG69" s="1">
        <f t="shared" si="113"/>
        <v>113.89448456701506</v>
      </c>
      <c r="BH69" s="1">
        <f t="shared" si="114"/>
        <v>-23.393502583560263</v>
      </c>
      <c r="BI69" s="1">
        <f t="shared" si="115"/>
        <v>45.337627330439865</v>
      </c>
      <c r="BJ69" s="1">
        <f t="shared" si="59"/>
        <v>0.19904284992508101</v>
      </c>
      <c r="BK69" s="1">
        <f t="shared" si="116"/>
        <v>113.89448456701506</v>
      </c>
      <c r="BL69" s="1">
        <f t="shared" si="117"/>
        <v>-23.393502583560263</v>
      </c>
      <c r="BM69" s="1">
        <f t="shared" si="118"/>
        <v>45.337627330439865</v>
      </c>
    </row>
    <row r="70" spans="4:65" x14ac:dyDescent="0.25">
      <c r="D70" s="1">
        <v>1.21681505336267</v>
      </c>
      <c r="E70" s="14">
        <v>5.5272524253532804</v>
      </c>
      <c r="F70" s="1">
        <v>0.17742613867534801</v>
      </c>
      <c r="G70" s="1">
        <f t="shared" si="80"/>
        <v>0.64057170176643707</v>
      </c>
      <c r="H70" s="1">
        <f t="shared" si="81"/>
        <v>1.3654946738101317</v>
      </c>
      <c r="I70" s="1">
        <f t="shared" si="82"/>
        <v>0.7525362701206415</v>
      </c>
      <c r="J70" s="1">
        <f t="shared" si="48"/>
        <v>0.78902619406081587</v>
      </c>
      <c r="K70" s="1">
        <f t="shared" si="49"/>
        <v>1.217040181515753</v>
      </c>
      <c r="L70" s="1">
        <f t="shared" si="50"/>
        <v>-0.80739715960113712</v>
      </c>
      <c r="M70" s="1">
        <f t="shared" si="83"/>
        <v>0.60181991267297053</v>
      </c>
      <c r="N70" s="1">
        <f t="shared" si="84"/>
        <v>0.45106351354161017</v>
      </c>
      <c r="O70" s="1">
        <f t="shared" si="85"/>
        <v>-0.29065669821292683</v>
      </c>
      <c r="P70" s="1">
        <f t="shared" si="86"/>
        <v>-0.36040770996664256</v>
      </c>
      <c r="Q70" s="16">
        <f t="shared" si="87"/>
        <v>75.302848601265978</v>
      </c>
      <c r="R70" s="1">
        <f t="shared" si="88"/>
        <v>86.378847553162018</v>
      </c>
      <c r="S70" s="1">
        <f t="shared" si="89"/>
        <v>-4.6457841508249551</v>
      </c>
      <c r="T70" s="1">
        <f t="shared" si="51"/>
        <v>0</v>
      </c>
      <c r="U70" s="1">
        <f t="shared" si="90"/>
        <v>75.302848601265978</v>
      </c>
      <c r="V70" s="1">
        <f t="shared" si="91"/>
        <v>43.476119910686542</v>
      </c>
      <c r="W70" s="1">
        <f t="shared" si="92"/>
        <v>-4.6457841508249551</v>
      </c>
      <c r="Y70" s="1">
        <v>1.9938773402985499</v>
      </c>
      <c r="Z70" s="1">
        <v>4.12100196325735</v>
      </c>
      <c r="AA70" s="1">
        <v>0.114466009670564</v>
      </c>
      <c r="AB70" s="1">
        <f t="shared" si="93"/>
        <v>3.534970915379157E-2</v>
      </c>
      <c r="AC70" s="1">
        <f t="shared" si="94"/>
        <v>1.1140141730353732</v>
      </c>
      <c r="AD70" s="1">
        <f t="shared" si="95"/>
        <v>-0.15665784461965443</v>
      </c>
      <c r="AE70" s="1">
        <f t="shared" si="52"/>
        <v>0.81488831687998153</v>
      </c>
      <c r="AF70" s="1">
        <f t="shared" si="53"/>
        <v>0.33447556530918338</v>
      </c>
      <c r="AG70" s="1">
        <f t="shared" si="54"/>
        <v>0.50766311046121371</v>
      </c>
      <c r="AH70" s="1">
        <f t="shared" si="96"/>
        <v>0.34480916465674949</v>
      </c>
      <c r="AI70" s="1">
        <f t="shared" si="97"/>
        <v>-0.55027448131221868</v>
      </c>
      <c r="AJ70" s="1">
        <f t="shared" si="98"/>
        <v>-0.16653003864155724</v>
      </c>
      <c r="AK70" s="1">
        <f t="shared" si="99"/>
        <v>-0.33809982228360419</v>
      </c>
      <c r="AL70" s="1">
        <f t="shared" si="100"/>
        <v>51.879971511946017</v>
      </c>
      <c r="AM70" s="1">
        <f t="shared" si="101"/>
        <v>53.96735525135302</v>
      </c>
      <c r="AN70" s="1">
        <f t="shared" si="102"/>
        <v>-14.985660676234867</v>
      </c>
      <c r="AO70" s="1">
        <f t="shared" si="55"/>
        <v>0</v>
      </c>
      <c r="AP70" s="1">
        <f t="shared" si="103"/>
        <v>51.879971511946017</v>
      </c>
      <c r="AQ70" s="1">
        <f t="shared" si="104"/>
        <v>29.952915517972148</v>
      </c>
      <c r="AR70" s="1">
        <f t="shared" si="105"/>
        <v>-14.985660676234867</v>
      </c>
      <c r="AT70" s="1">
        <v>1.01663547007306</v>
      </c>
      <c r="AU70" s="1">
        <v>4.6120305187627304</v>
      </c>
      <c r="AV70" s="1">
        <v>0.164590025025043</v>
      </c>
      <c r="AW70" s="1">
        <f t="shared" si="106"/>
        <v>0.30359491292471091</v>
      </c>
      <c r="AX70" s="1">
        <f t="shared" si="107"/>
        <v>1.9378127371187166</v>
      </c>
      <c r="AY70" s="1">
        <f t="shared" si="108"/>
        <v>0.68248239610930062</v>
      </c>
      <c r="AZ70" s="1">
        <f t="shared" si="56"/>
        <v>0.87448010221196149</v>
      </c>
      <c r="BA70" s="1">
        <f t="shared" si="57"/>
        <v>1.3669275478314664</v>
      </c>
      <c r="BB70" s="1">
        <f t="shared" si="58"/>
        <v>-1.0357717284967505</v>
      </c>
      <c r="BC70" s="1">
        <f t="shared" si="109"/>
        <v>0.6724222950130283</v>
      </c>
      <c r="BD70" s="1">
        <f t="shared" si="110"/>
        <v>-0.26807744971371655</v>
      </c>
      <c r="BE70" s="1">
        <f t="shared" si="111"/>
        <v>0.649510060925651</v>
      </c>
      <c r="BF70" s="1">
        <f t="shared" si="112"/>
        <v>0.3537868826540706</v>
      </c>
      <c r="BG70" s="1">
        <f t="shared" si="113"/>
        <v>118.33122910267954</v>
      </c>
      <c r="BH70" s="1">
        <f t="shared" si="114"/>
        <v>-28.577159235352664</v>
      </c>
      <c r="BI70" s="1">
        <f t="shared" si="115"/>
        <v>44.122874157030282</v>
      </c>
      <c r="BJ70" s="1">
        <f t="shared" si="59"/>
        <v>0.164590025025043</v>
      </c>
      <c r="BK70" s="1">
        <f t="shared" si="116"/>
        <v>118.33122910267954</v>
      </c>
      <c r="BL70" s="1">
        <f t="shared" si="117"/>
        <v>-28.577159235352664</v>
      </c>
      <c r="BM70" s="1">
        <f t="shared" si="118"/>
        <v>44.122874157030282</v>
      </c>
    </row>
    <row r="71" spans="4:65" x14ac:dyDescent="0.25">
      <c r="D71" s="1">
        <v>1.4171297625557799</v>
      </c>
      <c r="E71" s="14">
        <v>5.83326749506901</v>
      </c>
      <c r="F71" s="1">
        <v>7.8049245523491004E-2</v>
      </c>
      <c r="G71" s="1">
        <f t="shared" si="80"/>
        <v>0.73381850774422674</v>
      </c>
      <c r="H71" s="1">
        <f t="shared" si="81"/>
        <v>1.0820528096483999</v>
      </c>
      <c r="I71" s="1">
        <f t="shared" si="82"/>
        <v>0.36510329202422936</v>
      </c>
      <c r="J71" s="1">
        <f t="shared" si="48"/>
        <v>0.96344408429640227</v>
      </c>
      <c r="K71" s="1">
        <f t="shared" si="49"/>
        <v>0.85242723309622481</v>
      </c>
      <c r="L71" s="1">
        <f t="shared" si="50"/>
        <v>-0.40066945327788694</v>
      </c>
      <c r="M71" s="1">
        <f t="shared" si="83"/>
        <v>0.5447613952177881</v>
      </c>
      <c r="N71" s="1">
        <f t="shared" si="84"/>
        <v>0.70223579895455168</v>
      </c>
      <c r="O71" s="1">
        <f t="shared" si="85"/>
        <v>-0.26309955040306371</v>
      </c>
      <c r="P71" s="1">
        <f t="shared" si="86"/>
        <v>-0.11454212758731752</v>
      </c>
      <c r="Q71" s="16">
        <f t="shared" si="87"/>
        <v>53.452286178204815</v>
      </c>
      <c r="R71" s="1">
        <f t="shared" si="88"/>
        <v>23.577790018857645</v>
      </c>
      <c r="S71" s="1">
        <f t="shared" si="89"/>
        <v>9.620896746304247</v>
      </c>
      <c r="T71" s="1">
        <f t="shared" si="51"/>
        <v>7.8049245523491004E-2</v>
      </c>
      <c r="U71" s="1">
        <f t="shared" si="90"/>
        <v>53.452286178204815</v>
      </c>
      <c r="V71" s="1">
        <f t="shared" si="91"/>
        <v>23.577790018857645</v>
      </c>
      <c r="W71" s="1">
        <f t="shared" si="92"/>
        <v>9.620896746304247</v>
      </c>
      <c r="Y71" s="1">
        <v>1.81001614767619</v>
      </c>
      <c r="Z71" s="1">
        <v>4.9538646973520599</v>
      </c>
      <c r="AA71" s="1">
        <v>0.21438863551670201</v>
      </c>
      <c r="AB71" s="1">
        <f t="shared" si="93"/>
        <v>0.33169497328930053</v>
      </c>
      <c r="AC71" s="1">
        <f t="shared" si="94"/>
        <v>0.99055973503025951</v>
      </c>
      <c r="AD71" s="1">
        <f t="shared" si="95"/>
        <v>-0.44757410173438489</v>
      </c>
      <c r="AE71" s="1">
        <f t="shared" si="52"/>
        <v>0.7475085246641241</v>
      </c>
      <c r="AF71" s="1">
        <f t="shared" si="53"/>
        <v>0.57474618365543595</v>
      </c>
      <c r="AG71" s="1">
        <f t="shared" si="54"/>
        <v>0.54898685183857876</v>
      </c>
      <c r="AH71" s="1">
        <f t="shared" si="96"/>
        <v>0.39667641249586799</v>
      </c>
      <c r="AI71" s="1">
        <f t="shared" si="97"/>
        <v>-0.48321481529783483</v>
      </c>
      <c r="AJ71" s="1">
        <f t="shared" si="98"/>
        <v>-0.19157999575472748</v>
      </c>
      <c r="AK71" s="1">
        <f t="shared" si="99"/>
        <v>-0.31048119367064542</v>
      </c>
      <c r="AL71" s="1">
        <f t="shared" si="100"/>
        <v>89.268138675725552</v>
      </c>
      <c r="AM71" s="1">
        <f t="shared" si="101"/>
        <v>92.831076087143288</v>
      </c>
      <c r="AN71" s="1">
        <f t="shared" si="102"/>
        <v>-16.227990075822539</v>
      </c>
      <c r="AO71" s="1">
        <f t="shared" si="55"/>
        <v>0</v>
      </c>
      <c r="AP71" s="1">
        <f t="shared" si="103"/>
        <v>89.268138675725552</v>
      </c>
      <c r="AQ71" s="1">
        <f t="shared" si="104"/>
        <v>51.538983894486989</v>
      </c>
      <c r="AR71" s="1">
        <f t="shared" si="105"/>
        <v>-16.227990075822539</v>
      </c>
      <c r="AT71" s="1">
        <v>2.1251668995271502</v>
      </c>
      <c r="AU71" s="1">
        <v>4.6129514487664398</v>
      </c>
      <c r="AV71" s="1">
        <v>0.16313889880537999</v>
      </c>
      <c r="AW71" s="1">
        <f t="shared" si="106"/>
        <v>0.30416760962193379</v>
      </c>
      <c r="AX71" s="1">
        <f t="shared" si="107"/>
        <v>1.9388135035531315</v>
      </c>
      <c r="AY71" s="1">
        <f t="shared" si="108"/>
        <v>-0.68326325967450796</v>
      </c>
      <c r="AZ71" s="1">
        <f t="shared" si="56"/>
        <v>0.87422885313379051</v>
      </c>
      <c r="BA71" s="1">
        <f t="shared" si="57"/>
        <v>1.3687522600412747</v>
      </c>
      <c r="BB71" s="1">
        <f t="shared" si="58"/>
        <v>1.0362080542355956</v>
      </c>
      <c r="BC71" s="1">
        <f t="shared" si="109"/>
        <v>0.67289433395251952</v>
      </c>
      <c r="BD71" s="1">
        <f t="shared" si="110"/>
        <v>0.26819037912479765</v>
      </c>
      <c r="BE71" s="1">
        <f t="shared" si="111"/>
        <v>0.64996601552831967</v>
      </c>
      <c r="BF71" s="1">
        <f t="shared" si="112"/>
        <v>0.35425915292579963</v>
      </c>
      <c r="BG71" s="1">
        <f t="shared" si="113"/>
        <v>117.37973893332625</v>
      </c>
      <c r="BH71" s="1">
        <f t="shared" si="114"/>
        <v>-28.380373946778718</v>
      </c>
      <c r="BI71" s="1">
        <f t="shared" si="115"/>
        <v>-43.752283120616887</v>
      </c>
      <c r="BJ71" s="1">
        <f t="shared" si="59"/>
        <v>0.16313889880537999</v>
      </c>
      <c r="BK71" s="1">
        <f t="shared" si="116"/>
        <v>117.37973893332625</v>
      </c>
      <c r="BL71" s="1">
        <f t="shared" si="117"/>
        <v>-28.380373946778718</v>
      </c>
      <c r="BM71" s="1">
        <f t="shared" si="118"/>
        <v>-43.752283120616887</v>
      </c>
    </row>
    <row r="72" spans="4:65" x14ac:dyDescent="0.25">
      <c r="D72" s="1">
        <v>1.4613470385502201</v>
      </c>
      <c r="E72" s="14">
        <v>6.1589666817689501</v>
      </c>
      <c r="F72" s="1">
        <v>0.127057895146755</v>
      </c>
      <c r="G72" s="1">
        <f t="shared" si="80"/>
        <v>0.87319410374000239</v>
      </c>
      <c r="H72" s="1">
        <f t="shared" si="81"/>
        <v>1.08045705720735</v>
      </c>
      <c r="I72" s="1">
        <f t="shared" si="82"/>
        <v>0.26879689524107492</v>
      </c>
      <c r="J72" s="1">
        <f t="shared" si="48"/>
        <v>1.0196136359626606</v>
      </c>
      <c r="K72" s="1">
        <f t="shared" si="49"/>
        <v>0.93403752498469172</v>
      </c>
      <c r="L72" s="1">
        <f t="shared" si="50"/>
        <v>-0.28488670760271523</v>
      </c>
      <c r="M72" s="1">
        <f t="shared" si="83"/>
        <v>0.58609534828420573</v>
      </c>
      <c r="N72" s="1">
        <f t="shared" si="84"/>
        <v>0.77918932437201605</v>
      </c>
      <c r="O72" s="1">
        <f t="shared" si="85"/>
        <v>-0.28306231678780019</v>
      </c>
      <c r="P72" s="1">
        <f t="shared" si="86"/>
        <v>3.4343246786027737E-3</v>
      </c>
      <c r="Q72" s="16">
        <f t="shared" si="87"/>
        <v>100.29976204456885</v>
      </c>
      <c r="R72" s="1">
        <f t="shared" si="88"/>
        <v>26.423489130140879</v>
      </c>
      <c r="S72" s="1">
        <f t="shared" si="89"/>
        <v>18.35421240686038</v>
      </c>
      <c r="T72" s="1">
        <f t="shared" si="51"/>
        <v>0.127057895146755</v>
      </c>
      <c r="U72" s="1">
        <f t="shared" si="90"/>
        <v>100.29976204456885</v>
      </c>
      <c r="V72" s="1">
        <f t="shared" si="91"/>
        <v>26.423489130140879</v>
      </c>
      <c r="W72" s="1">
        <f t="shared" si="92"/>
        <v>18.35421240686038</v>
      </c>
      <c r="Y72" s="1">
        <v>1.6842071912466401</v>
      </c>
      <c r="Z72" s="1">
        <v>7.35541685834791</v>
      </c>
      <c r="AA72" s="1">
        <v>0.11909722839357099</v>
      </c>
      <c r="AB72" s="1">
        <f t="shared" si="93"/>
        <v>1.3091238484977687</v>
      </c>
      <c r="AC72" s="1">
        <f t="shared" si="94"/>
        <v>1.1116244206027153</v>
      </c>
      <c r="AD72" s="1">
        <f t="shared" si="95"/>
        <v>-0.28244990874884124</v>
      </c>
      <c r="AE72" s="1">
        <f t="shared" si="52"/>
        <v>1.0506359464687931</v>
      </c>
      <c r="AF72" s="1">
        <f t="shared" si="53"/>
        <v>1.3701123226316907</v>
      </c>
      <c r="AG72" s="1">
        <f t="shared" si="54"/>
        <v>0.25300823746550771</v>
      </c>
      <c r="AH72" s="1">
        <f t="shared" si="96"/>
        <v>0.72622448073014512</v>
      </c>
      <c r="AI72" s="1">
        <f t="shared" si="97"/>
        <v>-0.81339074809025336</v>
      </c>
      <c r="AJ72" s="1">
        <f t="shared" si="98"/>
        <v>-0.35073949081030781</v>
      </c>
      <c r="AK72" s="1">
        <f t="shared" si="99"/>
        <v>0.14296564740686701</v>
      </c>
      <c r="AL72" s="1">
        <f t="shared" si="100"/>
        <v>105.6167346704177</v>
      </c>
      <c r="AM72" s="1">
        <f t="shared" si="101"/>
        <v>10.67246549582199</v>
      </c>
      <c r="AN72" s="1">
        <f t="shared" si="102"/>
        <v>-12.260591002778847</v>
      </c>
      <c r="AO72" s="1">
        <f t="shared" si="55"/>
        <v>0.11909722839357099</v>
      </c>
      <c r="AP72" s="1">
        <f t="shared" si="103"/>
        <v>105.6167346704177</v>
      </c>
      <c r="AQ72" s="1">
        <f t="shared" si="104"/>
        <v>10.67246549582199</v>
      </c>
      <c r="AR72" s="1">
        <f t="shared" si="105"/>
        <v>-12.260591002778847</v>
      </c>
      <c r="AT72" s="1">
        <v>1.91093326237831</v>
      </c>
      <c r="AU72" s="1">
        <v>5.5044620087336904</v>
      </c>
      <c r="AV72" s="1">
        <v>0.16707314328527001</v>
      </c>
      <c r="AW72" s="1">
        <f t="shared" si="106"/>
        <v>0.62569503021729755</v>
      </c>
      <c r="AX72" s="1">
        <f t="shared" si="107"/>
        <v>1.3325368315348791</v>
      </c>
      <c r="AY72" s="1">
        <f t="shared" si="108"/>
        <v>-0.72492419810171049</v>
      </c>
      <c r="AZ72" s="1">
        <f t="shared" si="56"/>
        <v>0.79788387149262685</v>
      </c>
      <c r="BA72" s="1">
        <f t="shared" si="57"/>
        <v>1.1603479902595497</v>
      </c>
      <c r="BB72" s="1">
        <f t="shared" si="58"/>
        <v>0.785860271719794</v>
      </c>
      <c r="BC72" s="1">
        <f t="shared" si="109"/>
        <v>0.58746955852565297</v>
      </c>
      <c r="BD72" s="1">
        <f t="shared" si="110"/>
        <v>0.20339560511052437</v>
      </c>
      <c r="BE72" s="1">
        <f t="shared" si="111"/>
        <v>0.56745201873856554</v>
      </c>
      <c r="BF72" s="1">
        <f t="shared" si="112"/>
        <v>0.30032015882560553</v>
      </c>
      <c r="BG72" s="1">
        <f t="shared" si="113"/>
        <v>104.56191421693548</v>
      </c>
      <c r="BH72" s="1">
        <f t="shared" si="114"/>
        <v>-23.928150077529498</v>
      </c>
      <c r="BI72" s="1">
        <f t="shared" si="115"/>
        <v>-33.981943076224859</v>
      </c>
      <c r="BJ72" s="1">
        <f t="shared" si="59"/>
        <v>0.16707314328527001</v>
      </c>
      <c r="BK72" s="1">
        <f t="shared" si="116"/>
        <v>104.56191421693548</v>
      </c>
      <c r="BL72" s="1">
        <f t="shared" si="117"/>
        <v>-23.928150077529498</v>
      </c>
      <c r="BM72" s="1">
        <f t="shared" si="118"/>
        <v>-33.981943076224859</v>
      </c>
    </row>
    <row r="73" spans="4:65" x14ac:dyDescent="0.25">
      <c r="D73" s="1">
        <v>1.22634648573995</v>
      </c>
      <c r="E73" s="14">
        <v>4.8734534258191999</v>
      </c>
      <c r="F73" s="1">
        <v>0.19583932200229201</v>
      </c>
      <c r="G73" s="1">
        <f t="shared" si="80"/>
        <v>0.32965582930290949</v>
      </c>
      <c r="H73" s="1">
        <f t="shared" si="81"/>
        <v>1.2146088980419478</v>
      </c>
      <c r="I73" s="1">
        <f t="shared" si="82"/>
        <v>0.59222442708684042</v>
      </c>
      <c r="J73" s="1">
        <f t="shared" si="48"/>
        <v>0.73723025950615695</v>
      </c>
      <c r="K73" s="1">
        <f t="shared" si="49"/>
        <v>0.80703446783870036</v>
      </c>
      <c r="L73" s="1">
        <f t="shared" si="50"/>
        <v>-0.7384423461792825</v>
      </c>
      <c r="M73" s="1">
        <f t="shared" si="83"/>
        <v>0.46327941820345719</v>
      </c>
      <c r="N73" s="1">
        <f t="shared" si="84"/>
        <v>0.42558218878436838</v>
      </c>
      <c r="O73" s="1">
        <f t="shared" si="85"/>
        <v>-0.22374677741544652</v>
      </c>
      <c r="P73" s="1">
        <f t="shared" si="86"/>
        <v>-0.40884317161853478</v>
      </c>
      <c r="Q73" s="16">
        <f t="shared" si="87"/>
        <v>70.159718264203619</v>
      </c>
      <c r="R73" s="1">
        <f t="shared" si="88"/>
        <v>101.69128741304398</v>
      </c>
      <c r="S73" s="1">
        <f t="shared" si="89"/>
        <v>3.725001214385546</v>
      </c>
      <c r="T73" s="1">
        <f t="shared" si="51"/>
        <v>0</v>
      </c>
      <c r="U73" s="1">
        <f t="shared" si="90"/>
        <v>70.159718264203619</v>
      </c>
      <c r="V73" s="1">
        <f t="shared" si="91"/>
        <v>40.506732226106259</v>
      </c>
      <c r="W73" s="1">
        <f t="shared" si="92"/>
        <v>3.725001214385546</v>
      </c>
      <c r="Y73" s="1">
        <v>2.02064410394396</v>
      </c>
      <c r="Z73" s="1">
        <v>4.3330285367475998</v>
      </c>
      <c r="AA73" s="1">
        <v>0.187181010602609</v>
      </c>
      <c r="AB73" s="1">
        <f t="shared" si="93"/>
        <v>0.12420180219300739</v>
      </c>
      <c r="AC73" s="1">
        <f t="shared" si="94"/>
        <v>1.3826493610523387</v>
      </c>
      <c r="AD73" s="1">
        <f t="shared" si="95"/>
        <v>-0.38904765654001378</v>
      </c>
      <c r="AE73" s="1">
        <f t="shared" si="52"/>
        <v>0.84002953619623977</v>
      </c>
      <c r="AF73" s="1">
        <f t="shared" si="53"/>
        <v>0.66682162704910652</v>
      </c>
      <c r="AG73" s="1">
        <f t="shared" si="54"/>
        <v>0.73469748788957268</v>
      </c>
      <c r="AH73" s="1">
        <f t="shared" si="96"/>
        <v>0.45205534897360389</v>
      </c>
      <c r="AI73" s="1">
        <f t="shared" si="97"/>
        <v>-0.51254470039466338</v>
      </c>
      <c r="AJ73" s="1">
        <f t="shared" si="98"/>
        <v>-0.21832596824286093</v>
      </c>
      <c r="AK73" s="1">
        <f t="shared" si="99"/>
        <v>-0.44200029016827902</v>
      </c>
      <c r="AL73" s="1">
        <f t="shared" si="100"/>
        <v>78.57807366713449</v>
      </c>
      <c r="AM73" s="1">
        <f t="shared" si="101"/>
        <v>106.70753404415383</v>
      </c>
      <c r="AN73" s="1">
        <f t="shared" si="102"/>
        <v>-12.577911660269168</v>
      </c>
      <c r="AO73" s="1">
        <f t="shared" si="55"/>
        <v>0</v>
      </c>
      <c r="AP73" s="1">
        <f t="shared" si="103"/>
        <v>78.57807366713449</v>
      </c>
      <c r="AQ73" s="1">
        <f t="shared" si="104"/>
        <v>45.36707198412234</v>
      </c>
      <c r="AR73" s="1">
        <f t="shared" si="105"/>
        <v>-12.577911660269168</v>
      </c>
      <c r="AT73" s="1">
        <v>1.5165477453128999</v>
      </c>
      <c r="AU73" s="1">
        <v>5.8395101702848597</v>
      </c>
      <c r="AV73" s="1">
        <v>0.17946442166475701</v>
      </c>
      <c r="AW73" s="1">
        <f t="shared" si="106"/>
        <v>0.72827327310527945</v>
      </c>
      <c r="AX73" s="1">
        <f t="shared" si="107"/>
        <v>1.0185423241406302</v>
      </c>
      <c r="AY73" s="1">
        <f t="shared" si="108"/>
        <v>0.13077065819693773</v>
      </c>
      <c r="AZ73" s="1">
        <f t="shared" si="56"/>
        <v>1.0035285011863009</v>
      </c>
      <c r="BA73" s="1">
        <f t="shared" si="57"/>
        <v>0.74328709605960885</v>
      </c>
      <c r="BB73" s="1">
        <f t="shared" si="58"/>
        <v>-0.14571752916832731</v>
      </c>
      <c r="BC73" s="1">
        <f t="shared" si="109"/>
        <v>0.52404467917377295</v>
      </c>
      <c r="BD73" s="1">
        <f t="shared" si="110"/>
        <v>-3.7714471754045423E-2</v>
      </c>
      <c r="BE73" s="1">
        <f t="shared" si="111"/>
        <v>0.50618828974331631</v>
      </c>
      <c r="BF73" s="1">
        <f t="shared" si="112"/>
        <v>0.1923768564391736</v>
      </c>
      <c r="BG73" s="1">
        <f t="shared" si="113"/>
        <v>96.683071810954146</v>
      </c>
      <c r="BH73" s="1">
        <f t="shared" si="114"/>
        <v>-9.8365533877000342</v>
      </c>
      <c r="BI73" s="1">
        <f t="shared" si="115"/>
        <v>6.7684058617315532</v>
      </c>
      <c r="BJ73" s="1">
        <f t="shared" si="59"/>
        <v>0.17946442166475701</v>
      </c>
      <c r="BK73" s="1">
        <f t="shared" si="116"/>
        <v>96.683071810954146</v>
      </c>
      <c r="BL73" s="1">
        <f t="shared" si="117"/>
        <v>-9.8365533877000342</v>
      </c>
      <c r="BM73" s="1">
        <f t="shared" si="118"/>
        <v>6.7684058617315532</v>
      </c>
    </row>
    <row r="74" spans="4:65" x14ac:dyDescent="0.25">
      <c r="D74" s="1">
        <v>1.5470040446478699</v>
      </c>
      <c r="E74" s="14">
        <v>8.6195658388614493</v>
      </c>
      <c r="F74" s="1">
        <v>0.20800464221250201</v>
      </c>
      <c r="G74" s="1">
        <f t="shared" si="80"/>
        <v>1.6392063187592743</v>
      </c>
      <c r="H74" s="1">
        <f t="shared" si="81"/>
        <v>1.0576840041715565</v>
      </c>
      <c r="I74" s="1">
        <f t="shared" si="82"/>
        <v>5.805685566406292E-2</v>
      </c>
      <c r="J74" s="1">
        <f t="shared" si="48"/>
        <v>1.0552515582227158</v>
      </c>
      <c r="K74" s="1">
        <f t="shared" si="49"/>
        <v>1.6416387647081152</v>
      </c>
      <c r="L74" s="1">
        <f t="shared" si="50"/>
        <v>-4.4160617047595573E-2</v>
      </c>
      <c r="M74" s="1">
        <f t="shared" si="83"/>
        <v>0.80906709687924938</v>
      </c>
      <c r="N74" s="1">
        <f t="shared" si="84"/>
        <v>0.87130552426263164</v>
      </c>
      <c r="O74" s="1">
        <f t="shared" si="85"/>
        <v>-0.39074940203819314</v>
      </c>
      <c r="P74" s="1">
        <f t="shared" si="86"/>
        <v>0.38794630134160057</v>
      </c>
      <c r="Q74" s="16">
        <f t="shared" si="87"/>
        <v>211.74594628214157</v>
      </c>
      <c r="R74" s="1">
        <f t="shared" si="88"/>
        <v>-26.80407468409626</v>
      </c>
      <c r="S74" s="1">
        <f t="shared" si="89"/>
        <v>20.229252991207954</v>
      </c>
      <c r="T74" s="1">
        <f t="shared" si="51"/>
        <v>0.20800464221250201</v>
      </c>
      <c r="U74" s="1">
        <f t="shared" si="90"/>
        <v>211.74594628214157</v>
      </c>
      <c r="V74" s="1">
        <f t="shared" si="91"/>
        <v>-26.80407468409626</v>
      </c>
      <c r="W74" s="1">
        <f t="shared" si="92"/>
        <v>20.229252991207954</v>
      </c>
      <c r="Y74" s="1">
        <v>1.61891798591202</v>
      </c>
      <c r="Z74" s="1">
        <v>8.4307769121082607</v>
      </c>
      <c r="AA74" s="1">
        <v>0.194319916478294</v>
      </c>
      <c r="AB74" s="1">
        <f t="shared" si="93"/>
        <v>1.5966001599695052</v>
      </c>
      <c r="AC74" s="1">
        <f t="shared" si="94"/>
        <v>1.0664414232368133</v>
      </c>
      <c r="AD74" s="1">
        <f t="shared" si="95"/>
        <v>-0.1178883863171034</v>
      </c>
      <c r="AE74" s="1">
        <f t="shared" si="52"/>
        <v>1.0563396995994283</v>
      </c>
      <c r="AF74" s="1">
        <f t="shared" si="53"/>
        <v>1.6067018836068905</v>
      </c>
      <c r="AG74" s="1">
        <f t="shared" si="54"/>
        <v>9.1870070020576303E-2</v>
      </c>
      <c r="AH74" s="1">
        <f t="shared" si="96"/>
        <v>0.79891247496189555</v>
      </c>
      <c r="AI74" s="1">
        <f t="shared" si="97"/>
        <v>-0.85986765720419256</v>
      </c>
      <c r="AJ74" s="1">
        <f t="shared" si="98"/>
        <v>-0.38584509625510716</v>
      </c>
      <c r="AK74" s="1">
        <f t="shared" si="99"/>
        <v>0.33899423588181071</v>
      </c>
      <c r="AL74" s="1">
        <f t="shared" si="100"/>
        <v>193.03358672950085</v>
      </c>
      <c r="AM74" s="1">
        <f t="shared" si="101"/>
        <v>-16.473897456770604</v>
      </c>
      <c r="AN74" s="1">
        <f t="shared" si="102"/>
        <v>-18.61238391955899</v>
      </c>
      <c r="AO74" s="1">
        <f t="shared" si="55"/>
        <v>0.194319916478294</v>
      </c>
      <c r="AP74" s="1">
        <f t="shared" si="103"/>
        <v>193.03358672950085</v>
      </c>
      <c r="AQ74" s="1">
        <f t="shared" si="104"/>
        <v>-16.473897456770604</v>
      </c>
      <c r="AR74" s="1">
        <f t="shared" si="105"/>
        <v>-18.61238391955899</v>
      </c>
      <c r="AT74" s="1">
        <v>1.5702882524130699</v>
      </c>
      <c r="AU74" s="1">
        <v>5.7334996817427601</v>
      </c>
      <c r="AV74" s="1">
        <v>0.13557541524991201</v>
      </c>
      <c r="AW74" s="1">
        <f t="shared" si="106"/>
        <v>0.67760234396225882</v>
      </c>
      <c r="AX74" s="1">
        <f t="shared" si="107"/>
        <v>0.99259190195229419</v>
      </c>
      <c r="AY74" s="1">
        <f t="shared" si="108"/>
        <v>1.2125685355727062E-3</v>
      </c>
      <c r="AZ74" s="1">
        <f t="shared" si="56"/>
        <v>0.99259058849122361</v>
      </c>
      <c r="BA74" s="1">
        <f t="shared" si="57"/>
        <v>0.6776036574233294</v>
      </c>
      <c r="BB74" s="1">
        <f t="shared" si="58"/>
        <v>-1.3726060069651101E-3</v>
      </c>
      <c r="BC74" s="1">
        <f t="shared" si="109"/>
        <v>0.50105827377436596</v>
      </c>
      <c r="BD74" s="1">
        <f t="shared" si="110"/>
        <v>-3.5525657602492869E-4</v>
      </c>
      <c r="BE74" s="1">
        <f t="shared" si="111"/>
        <v>0.48398512711447866</v>
      </c>
      <c r="BF74" s="1">
        <f t="shared" si="112"/>
        <v>0.1753767315722817</v>
      </c>
      <c r="BG74" s="1">
        <f t="shared" si="113"/>
        <v>69.534538826669561</v>
      </c>
      <c r="BH74" s="1">
        <f t="shared" si="114"/>
        <v>-5.9838034246658118</v>
      </c>
      <c r="BI74" s="1">
        <f t="shared" si="115"/>
        <v>4.8164057814825557E-2</v>
      </c>
      <c r="BJ74" s="1">
        <f t="shared" si="59"/>
        <v>0.13557541524991201</v>
      </c>
      <c r="BK74" s="1">
        <f t="shared" si="116"/>
        <v>69.534538826669561</v>
      </c>
      <c r="BL74" s="1">
        <f t="shared" si="117"/>
        <v>-5.9838034246658118</v>
      </c>
      <c r="BM74" s="1">
        <f t="shared" si="118"/>
        <v>4.8164057814825557E-2</v>
      </c>
    </row>
    <row r="75" spans="4:65" x14ac:dyDescent="0.25">
      <c r="D75" s="1">
        <v>1.4920995101932499</v>
      </c>
      <c r="E75" s="14">
        <v>7.4128244079277303</v>
      </c>
      <c r="F75" s="1">
        <v>0.19531899709016201</v>
      </c>
      <c r="G75" s="1">
        <f t="shared" si="80"/>
        <v>1.3276626072477744</v>
      </c>
      <c r="H75" s="1">
        <f t="shared" si="81"/>
        <v>1.0953045562001951</v>
      </c>
      <c r="I75" s="1">
        <f t="shared" si="82"/>
        <v>0.19670835595703429</v>
      </c>
      <c r="J75" s="1">
        <f t="shared" si="48"/>
        <v>1.065907654228077</v>
      </c>
      <c r="K75" s="1">
        <f t="shared" si="49"/>
        <v>1.3570595092198925</v>
      </c>
      <c r="L75" s="1">
        <f t="shared" si="50"/>
        <v>-0.17606644373270816</v>
      </c>
      <c r="M75" s="1">
        <f t="shared" si="83"/>
        <v>0.72689014903439086</v>
      </c>
      <c r="N75" s="1">
        <f t="shared" si="84"/>
        <v>0.8460797821992122</v>
      </c>
      <c r="O75" s="1">
        <f t="shared" si="85"/>
        <v>-0.35106098391371382</v>
      </c>
      <c r="P75" s="1">
        <f t="shared" si="86"/>
        <v>0.20395039560004227</v>
      </c>
      <c r="Q75" s="16">
        <f t="shared" si="87"/>
        <v>181.66526443442143</v>
      </c>
      <c r="R75" s="1">
        <f t="shared" si="88"/>
        <v>7.4364338844400981</v>
      </c>
      <c r="S75" s="1">
        <f t="shared" si="89"/>
        <v>23.245335879764102</v>
      </c>
      <c r="T75" s="1">
        <f t="shared" si="51"/>
        <v>0.19531899709016201</v>
      </c>
      <c r="U75" s="1">
        <f t="shared" si="90"/>
        <v>181.66526443442143</v>
      </c>
      <c r="V75" s="1">
        <f t="shared" si="91"/>
        <v>7.4364338844400981</v>
      </c>
      <c r="W75" s="1">
        <f t="shared" si="92"/>
        <v>23.245335879764102</v>
      </c>
      <c r="Y75" s="1">
        <v>1.59928035433899</v>
      </c>
      <c r="Z75" s="1">
        <v>7.9594977046781201</v>
      </c>
      <c r="AA75" s="1">
        <v>0.22521039602354301</v>
      </c>
      <c r="AB75" s="1">
        <f t="shared" si="93"/>
        <v>1.4826755460103056</v>
      </c>
      <c r="AC75" s="1">
        <f t="shared" si="94"/>
        <v>1.0742312858555241</v>
      </c>
      <c r="AD75" s="1">
        <f t="shared" si="95"/>
        <v>-7.0687550646913913E-2</v>
      </c>
      <c r="AE75" s="1">
        <f t="shared" si="52"/>
        <v>1.0705378288449503</v>
      </c>
      <c r="AF75" s="1">
        <f t="shared" si="53"/>
        <v>1.4863690030208796</v>
      </c>
      <c r="AG75" s="1">
        <f t="shared" si="54"/>
        <v>5.8945032663267651E-2</v>
      </c>
      <c r="AH75" s="1">
        <f t="shared" si="96"/>
        <v>0.76707204955974906</v>
      </c>
      <c r="AI75" s="1">
        <f t="shared" si="97"/>
        <v>-0.88026625052943175</v>
      </c>
      <c r="AJ75" s="1">
        <f t="shared" si="98"/>
        <v>-0.37046735164712524</v>
      </c>
      <c r="AK75" s="1">
        <f t="shared" si="99"/>
        <v>0.33539212518466882</v>
      </c>
      <c r="AL75" s="1">
        <f t="shared" si="100"/>
        <v>225.67994419343896</v>
      </c>
      <c r="AM75" s="1">
        <f t="shared" si="101"/>
        <v>-17.727578262263439</v>
      </c>
      <c r="AN75" s="1">
        <f t="shared" si="102"/>
        <v>-26.867372212327162</v>
      </c>
      <c r="AO75" s="1">
        <f t="shared" si="55"/>
        <v>0.22521039602354301</v>
      </c>
      <c r="AP75" s="1">
        <f t="shared" si="103"/>
        <v>225.67994419343896</v>
      </c>
      <c r="AQ75" s="1">
        <f t="shared" si="104"/>
        <v>-17.727578262263439</v>
      </c>
      <c r="AR75" s="1">
        <f t="shared" si="105"/>
        <v>-26.867372212327162</v>
      </c>
      <c r="AT75" s="1">
        <v>1.8650796873826301</v>
      </c>
      <c r="AU75" s="1">
        <v>4.9506960925028496</v>
      </c>
      <c r="AV75" s="1">
        <v>0.172278985175671</v>
      </c>
      <c r="AW75" s="1">
        <f t="shared" si="106"/>
        <v>0.34777218782411634</v>
      </c>
      <c r="AX75" s="1">
        <f t="shared" si="107"/>
        <v>1.1098117817794064</v>
      </c>
      <c r="AY75" s="1">
        <f t="shared" si="108"/>
        <v>-0.53887136629887356</v>
      </c>
      <c r="AZ75" s="1">
        <f t="shared" si="56"/>
        <v>0.74653540394825557</v>
      </c>
      <c r="BA75" s="1">
        <f t="shared" si="57"/>
        <v>0.71104856565526742</v>
      </c>
      <c r="BB75" s="1">
        <f t="shared" si="58"/>
        <v>0.65972994943589791</v>
      </c>
      <c r="BC75" s="1">
        <f t="shared" si="109"/>
        <v>0.43727519088105687</v>
      </c>
      <c r="BD75" s="1">
        <f t="shared" si="110"/>
        <v>0.17075067553853321</v>
      </c>
      <c r="BE75" s="1">
        <f t="shared" si="111"/>
        <v>0.42237540006749491</v>
      </c>
      <c r="BF75" s="1">
        <f t="shared" si="112"/>
        <v>0.18403291078441317</v>
      </c>
      <c r="BG75" s="1">
        <f t="shared" si="113"/>
        <v>78.492808782342223</v>
      </c>
      <c r="BH75" s="1">
        <f t="shared" si="114"/>
        <v>-11.791349793554886</v>
      </c>
      <c r="BI75" s="1">
        <f t="shared" si="115"/>
        <v>-29.41675309983879</v>
      </c>
      <c r="BJ75" s="1">
        <f t="shared" si="59"/>
        <v>0.172278985175671</v>
      </c>
      <c r="BK75" s="1">
        <f t="shared" si="116"/>
        <v>78.492808782342223</v>
      </c>
      <c r="BL75" s="1">
        <f t="shared" si="117"/>
        <v>-11.791349793554886</v>
      </c>
      <c r="BM75" s="1">
        <f t="shared" si="118"/>
        <v>-29.41675309983879</v>
      </c>
    </row>
    <row r="76" spans="4:65" x14ac:dyDescent="0.25">
      <c r="D76" s="1">
        <v>1.3142646229411199</v>
      </c>
      <c r="E76" s="14">
        <v>4.6086048563576902</v>
      </c>
      <c r="F76" s="1">
        <v>0.17412619131728899</v>
      </c>
      <c r="G76" s="1">
        <f t="shared" si="80"/>
        <v>0.17702428747330867</v>
      </c>
      <c r="H76" s="1">
        <f t="shared" si="81"/>
        <v>0.85205377407811334</v>
      </c>
      <c r="I76" s="1">
        <f t="shared" si="82"/>
        <v>0.37301120425773165</v>
      </c>
      <c r="J76" s="1">
        <f t="shared" si="48"/>
        <v>0.62550504015371977</v>
      </c>
      <c r="K76" s="1">
        <f t="shared" si="49"/>
        <v>0.40357302139770246</v>
      </c>
      <c r="L76" s="1">
        <f t="shared" si="50"/>
        <v>-0.49065273382608343</v>
      </c>
      <c r="M76" s="1">
        <f t="shared" si="83"/>
        <v>0.30872341846542667</v>
      </c>
      <c r="N76" s="1">
        <f t="shared" si="84"/>
        <v>0.39625489211295062</v>
      </c>
      <c r="O76" s="1">
        <f t="shared" si="85"/>
        <v>-0.14910196153800145</v>
      </c>
      <c r="P76" s="1">
        <f t="shared" si="86"/>
        <v>-0.30598662729175335</v>
      </c>
      <c r="Q76" s="16">
        <f t="shared" si="87"/>
        <v>56.467248278493578</v>
      </c>
      <c r="R76" s="1">
        <f t="shared" si="88"/>
        <v>70.290164560755684</v>
      </c>
      <c r="S76" s="1">
        <f t="shared" si="89"/>
        <v>12.01494394468674</v>
      </c>
      <c r="T76" s="1">
        <f t="shared" si="51"/>
        <v>0</v>
      </c>
      <c r="U76" s="1">
        <f t="shared" si="90"/>
        <v>56.467248278493578</v>
      </c>
      <c r="V76" s="1">
        <f t="shared" si="91"/>
        <v>32.6013809939857</v>
      </c>
      <c r="W76" s="1">
        <f t="shared" si="92"/>
        <v>12.01494394468674</v>
      </c>
      <c r="Y76" s="1">
        <v>1.9333073230088</v>
      </c>
      <c r="Z76" s="1">
        <v>4.9719445764193004</v>
      </c>
      <c r="AA76" s="1">
        <v>0.18732881114030001</v>
      </c>
      <c r="AB76" s="1">
        <f t="shared" si="93"/>
        <v>0.38411620745695874</v>
      </c>
      <c r="AC76" s="1">
        <f t="shared" si="94"/>
        <v>1.294656585743639</v>
      </c>
      <c r="AD76" s="1">
        <f t="shared" si="95"/>
        <v>-0.65031393138201843</v>
      </c>
      <c r="AE76" s="1">
        <f t="shared" si="52"/>
        <v>0.74889230861036316</v>
      </c>
      <c r="AF76" s="1">
        <f t="shared" si="53"/>
        <v>0.92988048459023487</v>
      </c>
      <c r="AG76" s="1">
        <f t="shared" si="54"/>
        <v>0.78866341015100916</v>
      </c>
      <c r="AH76" s="1">
        <f t="shared" si="96"/>
        <v>0.50363183796017941</v>
      </c>
      <c r="AI76" s="1">
        <f t="shared" si="97"/>
        <v>-0.42233951517383261</v>
      </c>
      <c r="AJ76" s="1">
        <f t="shared" si="98"/>
        <v>-0.24323549961358445</v>
      </c>
      <c r="AK76" s="1">
        <f t="shared" si="99"/>
        <v>-0.41905902167166292</v>
      </c>
      <c r="AL76" s="1">
        <f t="shared" si="100"/>
        <v>67.870569512675246</v>
      </c>
      <c r="AM76" s="1">
        <f t="shared" si="101"/>
        <v>99.456937276729192</v>
      </c>
      <c r="AN76" s="1">
        <f t="shared" si="102"/>
        <v>-9.7717417887483601E-2</v>
      </c>
      <c r="AO76" s="1">
        <f t="shared" si="55"/>
        <v>0</v>
      </c>
      <c r="AP76" s="1">
        <f t="shared" si="103"/>
        <v>67.870569512675246</v>
      </c>
      <c r="AQ76" s="1">
        <f t="shared" si="104"/>
        <v>39.185091578196257</v>
      </c>
      <c r="AR76" s="1">
        <f t="shared" si="105"/>
        <v>-9.7717417887483601E-2</v>
      </c>
      <c r="AT76" s="1">
        <v>1.5085734221053699</v>
      </c>
      <c r="AU76" s="1">
        <v>7.3789658757029404</v>
      </c>
      <c r="AV76" s="1">
        <v>0.28641520959850297</v>
      </c>
      <c r="AW76" s="1">
        <f t="shared" si="106"/>
        <v>1.3177164960992538</v>
      </c>
      <c r="AX76" s="1">
        <f t="shared" si="107"/>
        <v>1.0901120582336576</v>
      </c>
      <c r="AY76" s="1">
        <f t="shared" si="108"/>
        <v>0.15584879045229219</v>
      </c>
      <c r="AZ76" s="1">
        <f t="shared" si="56"/>
        <v>1.0716474279867245</v>
      </c>
      <c r="BA76" s="1">
        <f t="shared" si="57"/>
        <v>1.3361811263461867</v>
      </c>
      <c r="BB76" s="1">
        <f t="shared" si="58"/>
        <v>-0.14051786764514057</v>
      </c>
      <c r="BC76" s="1">
        <f t="shared" si="109"/>
        <v>0.72234856629987343</v>
      </c>
      <c r="BD76" s="1">
        <f t="shared" si="110"/>
        <v>-3.6368700323757934E-2</v>
      </c>
      <c r="BE76" s="1">
        <f t="shared" si="111"/>
        <v>0.69773513577192914</v>
      </c>
      <c r="BF76" s="1">
        <f t="shared" si="112"/>
        <v>0.3458291232049307</v>
      </c>
      <c r="BG76" s="1">
        <f t="shared" si="113"/>
        <v>218.66871863787179</v>
      </c>
      <c r="BH76" s="1">
        <f t="shared" si="114"/>
        <v>-43.952745336012619</v>
      </c>
      <c r="BI76" s="1">
        <f t="shared" si="115"/>
        <v>10.416548926054222</v>
      </c>
      <c r="BJ76" s="1">
        <f t="shared" si="59"/>
        <v>0.28641520959850297</v>
      </c>
      <c r="BK76" s="1">
        <f t="shared" si="116"/>
        <v>218.66871863787179</v>
      </c>
      <c r="BL76" s="1">
        <f t="shared" si="117"/>
        <v>-43.952745336012619</v>
      </c>
      <c r="BM76" s="1">
        <f t="shared" si="118"/>
        <v>10.416548926054222</v>
      </c>
    </row>
    <row r="77" spans="4:65" x14ac:dyDescent="0.25">
      <c r="D77" s="1">
        <v>1.04239878769173</v>
      </c>
      <c r="E77" s="14">
        <v>4.5712907349327203</v>
      </c>
      <c r="F77" s="1">
        <v>0.24357897790272801</v>
      </c>
      <c r="G77" s="1">
        <f t="shared" si="80"/>
        <v>0.27003507009701533</v>
      </c>
      <c r="H77" s="1">
        <f t="shared" si="81"/>
        <v>1.8169687303048949</v>
      </c>
      <c r="I77" s="1">
        <f t="shared" si="82"/>
        <v>0.63575356020720242</v>
      </c>
      <c r="J77" s="1">
        <f t="shared" si="48"/>
        <v>0.87018461620473597</v>
      </c>
      <c r="K77" s="1">
        <f t="shared" si="49"/>
        <v>1.2168191841971743</v>
      </c>
      <c r="L77" s="1">
        <f t="shared" si="50"/>
        <v>-0.98610072794585435</v>
      </c>
      <c r="M77" s="1">
        <f t="shared" si="83"/>
        <v>0.62610114012057305</v>
      </c>
      <c r="N77" s="1">
        <f t="shared" si="84"/>
        <v>0.47270196993524216</v>
      </c>
      <c r="O77" s="1">
        <f t="shared" si="85"/>
        <v>-0.30238363055574602</v>
      </c>
      <c r="P77" s="1">
        <f t="shared" si="86"/>
        <v>-0.50995335673808695</v>
      </c>
      <c r="Q77" s="16">
        <f t="shared" si="87"/>
        <v>99.740072663376679</v>
      </c>
      <c r="R77" s="1">
        <f t="shared" si="88"/>
        <v>155.32098189558221</v>
      </c>
      <c r="S77" s="1">
        <f t="shared" si="89"/>
        <v>-6.2163597992704922</v>
      </c>
      <c r="T77" s="1">
        <f t="shared" si="51"/>
        <v>0</v>
      </c>
      <c r="U77" s="1">
        <f t="shared" si="90"/>
        <v>99.740072663376679</v>
      </c>
      <c r="V77" s="1">
        <f t="shared" si="91"/>
        <v>57.584957801193354</v>
      </c>
      <c r="W77" s="1">
        <f t="shared" si="92"/>
        <v>-6.2163597992704922</v>
      </c>
      <c r="Y77" s="1">
        <v>2.1339179595239202</v>
      </c>
      <c r="Z77" s="1">
        <v>4.3317084828333901</v>
      </c>
      <c r="AA77" s="1">
        <v>0.17650397451340299</v>
      </c>
      <c r="AB77" s="1">
        <f t="shared" si="93"/>
        <v>0.1652255851839558</v>
      </c>
      <c r="AC77" s="1">
        <f t="shared" si="94"/>
        <v>1.9586035683074676</v>
      </c>
      <c r="AD77" s="1">
        <f t="shared" si="95"/>
        <v>-0.44711467937000093</v>
      </c>
      <c r="AE77" s="1">
        <f t="shared" si="52"/>
        <v>1.0438831884951598</v>
      </c>
      <c r="AF77" s="1">
        <f t="shared" si="53"/>
        <v>1.0799459649962637</v>
      </c>
      <c r="AG77" s="1">
        <f t="shared" si="54"/>
        <v>1.0018171255942552</v>
      </c>
      <c r="AH77" s="1">
        <f t="shared" si="96"/>
        <v>0.63714874604742711</v>
      </c>
      <c r="AI77" s="1">
        <f t="shared" si="97"/>
        <v>-0.61393595456035099</v>
      </c>
      <c r="AJ77" s="1">
        <f t="shared" si="98"/>
        <v>-0.30771921449745265</v>
      </c>
      <c r="AK77" s="1">
        <f t="shared" si="99"/>
        <v>-0.55852577550068805</v>
      </c>
      <c r="AL77" s="1">
        <f t="shared" si="100"/>
        <v>91.363275029661978</v>
      </c>
      <c r="AM77" s="1">
        <f t="shared" si="101"/>
        <v>126.54033210215604</v>
      </c>
      <c r="AN77" s="1">
        <f t="shared" si="102"/>
        <v>-7.1440549013802812</v>
      </c>
      <c r="AO77" s="1">
        <f t="shared" si="55"/>
        <v>0</v>
      </c>
      <c r="AP77" s="1">
        <f t="shared" si="103"/>
        <v>91.363275029661978</v>
      </c>
      <c r="AQ77" s="1">
        <f t="shared" si="104"/>
        <v>52.748611432421157</v>
      </c>
      <c r="AR77" s="1">
        <f t="shared" si="105"/>
        <v>-7.1440549013802812</v>
      </c>
      <c r="AT77" s="1">
        <v>1.76056768507505</v>
      </c>
      <c r="AU77" s="1">
        <v>5.2572200640272904</v>
      </c>
      <c r="AV77" s="1">
        <v>0.17399809130185601</v>
      </c>
      <c r="AW77" s="1">
        <f t="shared" si="106"/>
        <v>0.46671941848566018</v>
      </c>
      <c r="AX77" s="1">
        <f t="shared" si="107"/>
        <v>1.0107473937470153</v>
      </c>
      <c r="AY77" s="1">
        <f t="shared" si="108"/>
        <v>-0.40348225945729277</v>
      </c>
      <c r="AZ77" s="1">
        <f t="shared" si="56"/>
        <v>0.84190081879901291</v>
      </c>
      <c r="BA77" s="1">
        <f t="shared" si="57"/>
        <v>0.63556599343366238</v>
      </c>
      <c r="BB77" s="1">
        <f t="shared" si="58"/>
        <v>0.47554813439216337</v>
      </c>
      <c r="BC77" s="1">
        <f t="shared" si="109"/>
        <v>0.44324004366980257</v>
      </c>
      <c r="BD77" s="1">
        <f t="shared" si="110"/>
        <v>0.12308091404366472</v>
      </c>
      <c r="BE77" s="1">
        <f t="shared" si="111"/>
        <v>0.42813700542615679</v>
      </c>
      <c r="BF77" s="1">
        <f t="shared" si="112"/>
        <v>0.16449658352013535</v>
      </c>
      <c r="BG77" s="1">
        <f t="shared" si="113"/>
        <v>79.364607853724138</v>
      </c>
      <c r="BH77" s="1">
        <f t="shared" si="114"/>
        <v>-8.3660870416820465</v>
      </c>
      <c r="BI77" s="1">
        <f t="shared" si="115"/>
        <v>-21.415844119285484</v>
      </c>
      <c r="BJ77" s="1">
        <f t="shared" si="59"/>
        <v>0.17399809130185601</v>
      </c>
      <c r="BK77" s="1">
        <f t="shared" si="116"/>
        <v>79.364607853724138</v>
      </c>
      <c r="BL77" s="1">
        <f t="shared" si="117"/>
        <v>-8.3660870416820465</v>
      </c>
      <c r="BM77" s="1">
        <f t="shared" si="118"/>
        <v>-21.415844119285484</v>
      </c>
    </row>
    <row r="78" spans="4:65" x14ac:dyDescent="0.25">
      <c r="D78" s="1">
        <v>1.14310859527049</v>
      </c>
      <c r="E78" s="14">
        <v>4.76507039185958</v>
      </c>
      <c r="F78" s="1">
        <v>0.149426977899492</v>
      </c>
      <c r="G78" s="1">
        <f t="shared" si="80"/>
        <v>0.31438190512918729</v>
      </c>
      <c r="H78" s="1">
        <f t="shared" si="81"/>
        <v>1.4484525942319482</v>
      </c>
      <c r="I78" s="1">
        <f t="shared" si="82"/>
        <v>0.65600745442110309</v>
      </c>
      <c r="J78" s="1">
        <f t="shared" si="48"/>
        <v>0.75818992155910525</v>
      </c>
      <c r="K78" s="1">
        <f t="shared" si="49"/>
        <v>1.0046445778020301</v>
      </c>
      <c r="L78" s="1">
        <f t="shared" si="50"/>
        <v>-0.85830640672815894</v>
      </c>
      <c r="M78" s="1">
        <f t="shared" si="83"/>
        <v>0.52885034980834056</v>
      </c>
      <c r="N78" s="1">
        <f t="shared" si="84"/>
        <v>0.41209218611912346</v>
      </c>
      <c r="O78" s="1">
        <f t="shared" si="85"/>
        <v>-0.25541510556094199</v>
      </c>
      <c r="P78" s="1">
        <f t="shared" si="86"/>
        <v>-0.45796615253657258</v>
      </c>
      <c r="Q78" s="16">
        <f t="shared" si="87"/>
        <v>52.231825583901859</v>
      </c>
      <c r="R78" s="1">
        <f t="shared" si="88"/>
        <v>84.842010788993619</v>
      </c>
      <c r="S78" s="1">
        <f t="shared" si="89"/>
        <v>-2.2638003157102493</v>
      </c>
      <c r="T78" s="1">
        <f t="shared" si="51"/>
        <v>0</v>
      </c>
      <c r="U78" s="1">
        <f t="shared" si="90"/>
        <v>52.231825583901859</v>
      </c>
      <c r="V78" s="1">
        <f t="shared" si="91"/>
        <v>30.156058561131317</v>
      </c>
      <c r="W78" s="1">
        <f t="shared" si="92"/>
        <v>-2.2638003157102493</v>
      </c>
      <c r="Y78" s="1">
        <v>1.6242040634477199</v>
      </c>
      <c r="Z78" s="1">
        <v>7.8480078081475604</v>
      </c>
      <c r="AA78" s="1">
        <v>0.16148752925535501</v>
      </c>
      <c r="AB78" s="1">
        <f t="shared" si="93"/>
        <v>1.4525708979174354</v>
      </c>
      <c r="AC78" s="1">
        <f t="shared" si="94"/>
        <v>1.0810675870749142</v>
      </c>
      <c r="AD78" s="1">
        <f t="shared" si="95"/>
        <v>-0.13269640926160822</v>
      </c>
      <c r="AE78" s="1">
        <f t="shared" si="52"/>
        <v>1.0679791589673224</v>
      </c>
      <c r="AF78" s="1">
        <f t="shared" si="53"/>
        <v>1.4656593260250277</v>
      </c>
      <c r="AG78" s="1">
        <f t="shared" si="54"/>
        <v>0.11213668313670563</v>
      </c>
      <c r="AH78" s="1">
        <f t="shared" si="96"/>
        <v>0.76009154549770497</v>
      </c>
      <c r="AI78" s="1">
        <f t="shared" si="97"/>
        <v>-0.86435886927795091</v>
      </c>
      <c r="AJ78" s="1">
        <f t="shared" si="98"/>
        <v>-0.36709602707010314</v>
      </c>
      <c r="AK78" s="1">
        <f t="shared" si="99"/>
        <v>0.28553638351646704</v>
      </c>
      <c r="AL78" s="1">
        <f t="shared" si="100"/>
        <v>157.32862903470325</v>
      </c>
      <c r="AM78" s="1">
        <f t="shared" si="101"/>
        <v>-5.5810906032445189</v>
      </c>
      <c r="AN78" s="1">
        <f t="shared" si="102"/>
        <v>-18.452364386212221</v>
      </c>
      <c r="AO78" s="1">
        <f t="shared" si="55"/>
        <v>0.16148752925535501</v>
      </c>
      <c r="AP78" s="1">
        <f t="shared" si="103"/>
        <v>157.32862903470325</v>
      </c>
      <c r="AQ78" s="1">
        <f t="shared" si="104"/>
        <v>-5.5810906032445189</v>
      </c>
      <c r="AR78" s="1">
        <f t="shared" si="105"/>
        <v>-18.452364386212221</v>
      </c>
      <c r="AT78" s="1">
        <v>1.64537022238386</v>
      </c>
      <c r="AU78" s="1">
        <v>6.1674661798131396</v>
      </c>
      <c r="AV78" s="1">
        <v>0.24312831761897299</v>
      </c>
      <c r="AW78" s="1">
        <f t="shared" si="106"/>
        <v>0.87498144011086887</v>
      </c>
      <c r="AX78" s="1">
        <f t="shared" si="107"/>
        <v>1.0626666262791848</v>
      </c>
      <c r="AY78" s="1">
        <f t="shared" si="108"/>
        <v>-0.18401945139337997</v>
      </c>
      <c r="AZ78" s="1">
        <f t="shared" si="56"/>
        <v>1.0342803413664183</v>
      </c>
      <c r="BA78" s="1">
        <f t="shared" si="57"/>
        <v>0.90336772502363516</v>
      </c>
      <c r="BB78" s="1">
        <f t="shared" si="58"/>
        <v>0.19592106188067482</v>
      </c>
      <c r="BC78" s="1">
        <f t="shared" si="109"/>
        <v>0.58129441991701603</v>
      </c>
      <c r="BD78" s="1">
        <f t="shared" si="110"/>
        <v>5.0708102151427889E-2</v>
      </c>
      <c r="BE78" s="1">
        <f t="shared" si="111"/>
        <v>0.56148729287556831</v>
      </c>
      <c r="BF78" s="1">
        <f t="shared" si="112"/>
        <v>0.23380877196705371</v>
      </c>
      <c r="BG78" s="1">
        <f t="shared" si="113"/>
        <v>146.57458416723918</v>
      </c>
      <c r="BH78" s="1">
        <f t="shared" si="114"/>
        <v>-19.57628520513861</v>
      </c>
      <c r="BI78" s="1">
        <f t="shared" si="115"/>
        <v>-12.328575565727721</v>
      </c>
      <c r="BJ78" s="1">
        <f t="shared" si="59"/>
        <v>0.24312831761897299</v>
      </c>
      <c r="BK78" s="1">
        <f t="shared" si="116"/>
        <v>146.57458416723918</v>
      </c>
      <c r="BL78" s="1">
        <f t="shared" si="117"/>
        <v>-19.57628520513861</v>
      </c>
      <c r="BM78" s="1">
        <f t="shared" si="118"/>
        <v>-12.328575565727721</v>
      </c>
    </row>
    <row r="79" spans="4:65" x14ac:dyDescent="0.25">
      <c r="D79" s="1">
        <v>1.0974271253503001</v>
      </c>
      <c r="E79" s="14">
        <v>4.7781953181424504</v>
      </c>
      <c r="F79" s="1">
        <v>0.23081534503715501</v>
      </c>
      <c r="G79" s="1">
        <f t="shared" si="80"/>
        <v>0.34296621114601178</v>
      </c>
      <c r="H79" s="1">
        <f t="shared" si="81"/>
        <v>1.619128381235232</v>
      </c>
      <c r="I79" s="1">
        <f t="shared" si="82"/>
        <v>0.71185307026813338</v>
      </c>
      <c r="J79" s="1">
        <f t="shared" si="48"/>
        <v>0.77622043840085009</v>
      </c>
      <c r="K79" s="1">
        <f t="shared" si="49"/>
        <v>1.1858741539803934</v>
      </c>
      <c r="L79" s="1">
        <f t="shared" si="50"/>
        <v>-0.93377096927985703</v>
      </c>
      <c r="M79" s="1">
        <f t="shared" si="83"/>
        <v>0.58862837771437304</v>
      </c>
      <c r="N79" s="1">
        <f t="shared" si="84"/>
        <v>0.40764334140335218</v>
      </c>
      <c r="O79" s="1">
        <f t="shared" si="85"/>
        <v>-0.28428567606047467</v>
      </c>
      <c r="P79" s="1">
        <f t="shared" si="86"/>
        <v>-0.47418782361469114</v>
      </c>
      <c r="Q79" s="16">
        <f t="shared" si="87"/>
        <v>82.07121991380572</v>
      </c>
      <c r="R79" s="1">
        <f t="shared" si="88"/>
        <v>135.30171502984669</v>
      </c>
      <c r="S79" s="1">
        <f t="shared" si="89"/>
        <v>-9.7812495738881946</v>
      </c>
      <c r="T79" s="1">
        <f t="shared" si="51"/>
        <v>0</v>
      </c>
      <c r="U79" s="1">
        <f t="shared" si="90"/>
        <v>82.07121991380572</v>
      </c>
      <c r="V79" s="1">
        <f t="shared" si="91"/>
        <v>47.383840909956703</v>
      </c>
      <c r="W79" s="1">
        <f t="shared" si="92"/>
        <v>-9.7812495738881946</v>
      </c>
      <c r="Y79" s="1">
        <v>1.6323811882077801</v>
      </c>
      <c r="Z79" s="1">
        <v>8.0755571669343702</v>
      </c>
      <c r="AA79" s="1">
        <v>0.132079829836525</v>
      </c>
      <c r="AB79" s="1">
        <f t="shared" si="93"/>
        <v>1.5112449524262386</v>
      </c>
      <c r="AC79" s="1">
        <f t="shared" si="94"/>
        <v>1.0783814869813531</v>
      </c>
      <c r="AD79" s="1">
        <f t="shared" si="95"/>
        <v>-0.15210511893906686</v>
      </c>
      <c r="AE79" s="1">
        <f t="shared" si="52"/>
        <v>1.0613337205448483</v>
      </c>
      <c r="AF79" s="1">
        <f t="shared" si="53"/>
        <v>1.5282927188627433</v>
      </c>
      <c r="AG79" s="1">
        <f t="shared" si="54"/>
        <v>0.12436231587258925</v>
      </c>
      <c r="AH79" s="1">
        <f t="shared" si="96"/>
        <v>0.77688793182227744</v>
      </c>
      <c r="AI79" s="1">
        <f t="shared" si="97"/>
        <v>-0.85563562510159008</v>
      </c>
      <c r="AJ79" s="1">
        <f t="shared" si="98"/>
        <v>-0.37520805873971969</v>
      </c>
      <c r="AK79" s="1">
        <f t="shared" si="99"/>
        <v>0.29152015733517839</v>
      </c>
      <c r="AL79" s="1">
        <f t="shared" si="100"/>
        <v>128.43649969638068</v>
      </c>
      <c r="AM79" s="1">
        <f t="shared" si="101"/>
        <v>-5.4477480814817127</v>
      </c>
      <c r="AN79" s="1">
        <f t="shared" si="102"/>
        <v>-13.588122203100054</v>
      </c>
      <c r="AO79" s="1">
        <f t="shared" si="55"/>
        <v>0.132079829836525</v>
      </c>
      <c r="AP79" s="1">
        <f t="shared" si="103"/>
        <v>128.43649969638068</v>
      </c>
      <c r="AQ79" s="1">
        <f t="shared" si="104"/>
        <v>-5.4477480814817127</v>
      </c>
      <c r="AR79" s="1">
        <f t="shared" si="105"/>
        <v>-13.588122203100054</v>
      </c>
      <c r="AT79" s="1">
        <v>1.42529889650659</v>
      </c>
      <c r="AU79" s="1">
        <v>4.9461251838685598</v>
      </c>
      <c r="AV79" s="1">
        <v>0.16148897926491099</v>
      </c>
      <c r="AW79" s="1">
        <f t="shared" si="106"/>
        <v>0.30587564820144142</v>
      </c>
      <c r="AX79" s="1">
        <f t="shared" si="107"/>
        <v>0.83586936885150687</v>
      </c>
      <c r="AY79" s="1">
        <f t="shared" si="108"/>
        <v>0.27785417121558514</v>
      </c>
      <c r="AZ79" s="1">
        <f t="shared" si="56"/>
        <v>0.74501075149008811</v>
      </c>
      <c r="BA79" s="1">
        <f t="shared" si="57"/>
        <v>0.39673426556286018</v>
      </c>
      <c r="BB79" s="1">
        <f t="shared" si="58"/>
        <v>-0.34220191229969765</v>
      </c>
      <c r="BC79" s="1">
        <f t="shared" si="109"/>
        <v>0.34252350511588442</v>
      </c>
      <c r="BD79" s="1">
        <f t="shared" si="110"/>
        <v>-8.8568372173664478E-2</v>
      </c>
      <c r="BE79" s="1">
        <f t="shared" si="111"/>
        <v>0.33085229970248858</v>
      </c>
      <c r="BF79" s="1">
        <f t="shared" si="112"/>
        <v>0.10268238377242943</v>
      </c>
      <c r="BG79" s="1">
        <f t="shared" si="113"/>
        <v>55.900207522219389</v>
      </c>
      <c r="BH79" s="1">
        <f t="shared" si="114"/>
        <v>-2.1886100924391925</v>
      </c>
      <c r="BI79" s="1">
        <f t="shared" si="115"/>
        <v>14.30281601747981</v>
      </c>
      <c r="BJ79" s="1">
        <f t="shared" si="59"/>
        <v>0.16148897926491099</v>
      </c>
      <c r="BK79" s="1">
        <f t="shared" si="116"/>
        <v>55.900207522219389</v>
      </c>
      <c r="BL79" s="1">
        <f t="shared" si="117"/>
        <v>-2.1886100924391925</v>
      </c>
      <c r="BM79" s="1">
        <f t="shared" si="118"/>
        <v>14.30281601747981</v>
      </c>
    </row>
    <row r="80" spans="4:65" x14ac:dyDescent="0.25">
      <c r="D80" s="1">
        <v>1.5376248990394701</v>
      </c>
      <c r="E80" s="14">
        <v>7.2178463186767496</v>
      </c>
      <c r="F80" s="1">
        <v>0.26674141708815302</v>
      </c>
      <c r="G80" s="1">
        <f t="shared" si="80"/>
        <v>1.2673914162472744</v>
      </c>
      <c r="H80" s="1">
        <f t="shared" si="81"/>
        <v>1.0842578650297614</v>
      </c>
      <c r="I80" s="1">
        <f t="shared" si="82"/>
        <v>8.3401524287508105E-2</v>
      </c>
      <c r="J80" s="1">
        <f t="shared" si="48"/>
        <v>1.0789302636675446</v>
      </c>
      <c r="K80" s="1">
        <f t="shared" si="49"/>
        <v>1.2727190176094911</v>
      </c>
      <c r="L80" s="1">
        <f t="shared" si="50"/>
        <v>-7.7147704828278083E-2</v>
      </c>
      <c r="M80" s="1">
        <f t="shared" si="83"/>
        <v>0.70549478438311064</v>
      </c>
      <c r="N80" s="1">
        <f t="shared" si="84"/>
        <v>0.88257546085852689</v>
      </c>
      <c r="O80" s="1">
        <f t="shared" si="85"/>
        <v>-0.34072781627394194</v>
      </c>
      <c r="P80" s="1">
        <f t="shared" si="86"/>
        <v>0.26486860793670014</v>
      </c>
      <c r="Q80" s="16">
        <f t="shared" si="87"/>
        <v>259.11279960062518</v>
      </c>
      <c r="R80" s="1">
        <f t="shared" si="88"/>
        <v>-3.7146749357681879</v>
      </c>
      <c r="S80" s="1">
        <f t="shared" si="89"/>
        <v>38.999938704369264</v>
      </c>
      <c r="T80" s="1">
        <f t="shared" si="51"/>
        <v>0.26674141708815302</v>
      </c>
      <c r="U80" s="1">
        <f t="shared" si="90"/>
        <v>259.11279960062518</v>
      </c>
      <c r="V80" s="1">
        <f t="shared" si="91"/>
        <v>-3.7146749357681879</v>
      </c>
      <c r="W80" s="1">
        <f t="shared" si="92"/>
        <v>38.999938704369264</v>
      </c>
      <c r="Y80" s="1">
        <v>1.70427508938754</v>
      </c>
      <c r="Z80" s="1">
        <v>5.9943456163000501</v>
      </c>
      <c r="AA80" s="1">
        <v>0.13005476705865199</v>
      </c>
      <c r="AB80" s="1">
        <f t="shared" si="93"/>
        <v>0.80370902259037247</v>
      </c>
      <c r="AC80" s="1">
        <f t="shared" si="94"/>
        <v>1.0827413921766553</v>
      </c>
      <c r="AD80" s="1">
        <f t="shared" si="95"/>
        <v>-0.3230125578553284</v>
      </c>
      <c r="AE80" s="1">
        <f t="shared" si="52"/>
        <v>0.99258939086493903</v>
      </c>
      <c r="AF80" s="1">
        <f t="shared" si="53"/>
        <v>0.89386102390208888</v>
      </c>
      <c r="AG80" s="1">
        <f t="shared" si="54"/>
        <v>0.34837487817104162</v>
      </c>
      <c r="AH80" s="1">
        <f t="shared" si="96"/>
        <v>0.56593512443010829</v>
      </c>
      <c r="AI80" s="1">
        <f t="shared" si="97"/>
        <v>-0.74015115506976481</v>
      </c>
      <c r="AJ80" s="1">
        <f t="shared" si="98"/>
        <v>-0.27332567634557975</v>
      </c>
      <c r="AK80" s="1">
        <f t="shared" si="99"/>
        <v>-6.0073008742048656E-2</v>
      </c>
      <c r="AL80" s="1">
        <f t="shared" si="100"/>
        <v>95.669149506091287</v>
      </c>
      <c r="AM80" s="1">
        <f t="shared" si="101"/>
        <v>33.722857586839325</v>
      </c>
      <c r="AN80" s="1">
        <f t="shared" si="102"/>
        <v>-17.345221986542295</v>
      </c>
      <c r="AO80" s="1">
        <f t="shared" si="55"/>
        <v>0.13005476705865199</v>
      </c>
      <c r="AP80" s="1">
        <f t="shared" si="103"/>
        <v>95.669149506091287</v>
      </c>
      <c r="AQ80" s="1">
        <f t="shared" si="104"/>
        <v>33.722857586839325</v>
      </c>
      <c r="AR80" s="1">
        <f t="shared" si="105"/>
        <v>-17.345221986542295</v>
      </c>
      <c r="AT80" s="1">
        <v>1.65225678413582</v>
      </c>
      <c r="AU80" s="1">
        <v>4.9480571298194702</v>
      </c>
      <c r="AV80" s="1">
        <v>0.19396599297627901</v>
      </c>
      <c r="AW80" s="1">
        <f t="shared" si="106"/>
        <v>0.29775008580928652</v>
      </c>
      <c r="AX80" s="1">
        <f t="shared" si="107"/>
        <v>0.7747034454925541</v>
      </c>
      <c r="AY80" s="1">
        <f t="shared" si="108"/>
        <v>-0.15723451753560336</v>
      </c>
      <c r="AZ80" s="1">
        <f t="shared" si="56"/>
        <v>0.74604185364362641</v>
      </c>
      <c r="BA80" s="1">
        <f t="shared" si="57"/>
        <v>0.32641167765821433</v>
      </c>
      <c r="BB80" s="1">
        <f t="shared" si="58"/>
        <v>0.19383356051921474</v>
      </c>
      <c r="BC80" s="1">
        <f t="shared" si="109"/>
        <v>0.32173605939055216</v>
      </c>
      <c r="BD80" s="1">
        <f t="shared" si="110"/>
        <v>5.0167817042404653E-2</v>
      </c>
      <c r="BE80" s="1">
        <f t="shared" si="111"/>
        <v>0.31077316901380786</v>
      </c>
      <c r="BF80" s="1">
        <f t="shared" si="112"/>
        <v>8.448155872181079E-2</v>
      </c>
      <c r="BG80" s="1">
        <f t="shared" si="113"/>
        <v>62.466605749462879</v>
      </c>
      <c r="BH80" s="1">
        <f t="shared" si="114"/>
        <v>-0.22672773501626944</v>
      </c>
      <c r="BI80" s="1">
        <f t="shared" si="115"/>
        <v>-9.7308504480823252</v>
      </c>
      <c r="BJ80" s="1">
        <f t="shared" si="59"/>
        <v>0.19396599297627901</v>
      </c>
      <c r="BK80" s="1">
        <f t="shared" si="116"/>
        <v>62.466605749462879</v>
      </c>
      <c r="BL80" s="1">
        <f t="shared" si="117"/>
        <v>-0.22672773501626944</v>
      </c>
      <c r="BM80" s="1">
        <f t="shared" si="118"/>
        <v>-9.7308504480823252</v>
      </c>
    </row>
    <row r="81" spans="4:65" x14ac:dyDescent="0.25">
      <c r="D81" s="1">
        <v>1.3967961461649301</v>
      </c>
      <c r="E81" s="14">
        <v>4.9540049330477203</v>
      </c>
      <c r="F81" s="1">
        <v>0.17072193137976399</v>
      </c>
      <c r="G81" s="1">
        <f t="shared" si="80"/>
        <v>0.31530690193801214</v>
      </c>
      <c r="H81" s="1">
        <f t="shared" si="81"/>
        <v>0.87808338687815235</v>
      </c>
      <c r="I81" s="1">
        <f t="shared" si="82"/>
        <v>0.33154520230108281</v>
      </c>
      <c r="J81" s="1">
        <f t="shared" si="48"/>
        <v>0.74815287292537014</v>
      </c>
      <c r="K81" s="1">
        <f t="shared" si="49"/>
        <v>0.44523741589079435</v>
      </c>
      <c r="L81" s="1">
        <f t="shared" si="50"/>
        <v>-0.40762988192923788</v>
      </c>
      <c r="M81" s="1">
        <f t="shared" si="83"/>
        <v>0.35801708664484932</v>
      </c>
      <c r="N81" s="1">
        <f t="shared" si="84"/>
        <v>0.52033969909417399</v>
      </c>
      <c r="O81" s="1">
        <f t="shared" si="85"/>
        <v>-0.17290897512151546</v>
      </c>
      <c r="P81" s="1">
        <f t="shared" si="86"/>
        <v>-0.22575311929975583</v>
      </c>
      <c r="Q81" s="16">
        <f t="shared" si="87"/>
        <v>78.592192344030764</v>
      </c>
      <c r="R81" s="1">
        <f t="shared" si="88"/>
        <v>60.959302582344328</v>
      </c>
      <c r="S81" s="1">
        <f t="shared" si="89"/>
        <v>18.852188573385959</v>
      </c>
      <c r="T81" s="1">
        <f t="shared" si="51"/>
        <v>0</v>
      </c>
      <c r="U81" s="1">
        <f t="shared" si="90"/>
        <v>78.592192344030764</v>
      </c>
      <c r="V81" s="1">
        <f t="shared" si="91"/>
        <v>45.375223406029001</v>
      </c>
      <c r="W81" s="1">
        <f t="shared" si="92"/>
        <v>18.852188573385959</v>
      </c>
      <c r="Y81" s="1">
        <v>1.6166903129160199</v>
      </c>
      <c r="Z81" s="1">
        <v>4.6548260392721801</v>
      </c>
      <c r="AA81" s="1">
        <v>0.16293327068979399</v>
      </c>
      <c r="AB81" s="1">
        <f t="shared" si="93"/>
        <v>0.15991149906813751</v>
      </c>
      <c r="AC81" s="1">
        <f t="shared" si="94"/>
        <v>0.57054916098536479</v>
      </c>
      <c r="AD81" s="1">
        <f t="shared" si="95"/>
        <v>-7.2846332034320671E-2</v>
      </c>
      <c r="AE81" s="1">
        <f t="shared" si="52"/>
        <v>0.5630078270327955</v>
      </c>
      <c r="AF81" s="1">
        <f t="shared" si="53"/>
        <v>0.1674528330207069</v>
      </c>
      <c r="AG81" s="1">
        <f t="shared" si="54"/>
        <v>9.1359028645724982E-2</v>
      </c>
      <c r="AH81" s="1">
        <f t="shared" si="96"/>
        <v>0.21913819801605072</v>
      </c>
      <c r="AI81" s="1">
        <f t="shared" si="97"/>
        <v>-0.44731976988934863</v>
      </c>
      <c r="AJ81" s="1">
        <f t="shared" si="98"/>
        <v>-0.10583562249507573</v>
      </c>
      <c r="AK81" s="1">
        <f t="shared" si="99"/>
        <v>-3.3083334613667137E-2</v>
      </c>
      <c r="AL81" s="1">
        <f t="shared" si="100"/>
        <v>67.901196397908521</v>
      </c>
      <c r="AM81" s="1">
        <f t="shared" si="101"/>
        <v>23.77459852707425</v>
      </c>
      <c r="AN81" s="1">
        <f t="shared" si="102"/>
        <v>-21.507769694239684</v>
      </c>
      <c r="AO81" s="1">
        <f t="shared" si="55"/>
        <v>0.16293327068979399</v>
      </c>
      <c r="AP81" s="1">
        <f t="shared" si="103"/>
        <v>67.901196397908521</v>
      </c>
      <c r="AQ81" s="1">
        <f t="shared" si="104"/>
        <v>23.77459852707425</v>
      </c>
      <c r="AR81" s="1">
        <f t="shared" si="105"/>
        <v>-21.507769694239684</v>
      </c>
      <c r="AT81" s="1">
        <v>1.76081048881672</v>
      </c>
      <c r="AU81" s="1">
        <v>4.6736784546343699</v>
      </c>
      <c r="AV81" s="1">
        <v>0.119648834147663</v>
      </c>
      <c r="AW81" s="1">
        <f t="shared" si="106"/>
        <v>0.18835939826942349</v>
      </c>
      <c r="AX81" s="1">
        <f t="shared" si="107"/>
        <v>0.75036803257103601</v>
      </c>
      <c r="AY81" s="1">
        <f t="shared" si="108"/>
        <v>-0.29983935044315263</v>
      </c>
      <c r="AZ81" s="1">
        <f t="shared" si="56"/>
        <v>0.6190950954696961</v>
      </c>
      <c r="BA81" s="1">
        <f t="shared" si="57"/>
        <v>0.31963233537076352</v>
      </c>
      <c r="BB81" s="1">
        <f t="shared" si="58"/>
        <v>0.3826846954870875</v>
      </c>
      <c r="BC81" s="1">
        <f t="shared" si="109"/>
        <v>0.28161822925213786</v>
      </c>
      <c r="BD81" s="1">
        <f t="shared" si="110"/>
        <v>9.9046087461316767E-2</v>
      </c>
      <c r="BE81" s="1">
        <f t="shared" si="111"/>
        <v>0.27202232078843552</v>
      </c>
      <c r="BF81" s="1">
        <f t="shared" si="112"/>
        <v>8.2726935824549583E-2</v>
      </c>
      <c r="BG81" s="1">
        <f t="shared" si="113"/>
        <v>33.999974045222302</v>
      </c>
      <c r="BH81" s="1">
        <f t="shared" si="114"/>
        <v>-1.1370858695647656</v>
      </c>
      <c r="BI81" s="1">
        <f t="shared" si="115"/>
        <v>-11.850748891634023</v>
      </c>
      <c r="BJ81" s="1">
        <f t="shared" si="59"/>
        <v>0.119648834147663</v>
      </c>
      <c r="BK81" s="1">
        <f t="shared" si="116"/>
        <v>33.999974045222302</v>
      </c>
      <c r="BL81" s="1">
        <f t="shared" si="117"/>
        <v>-1.1370858695647656</v>
      </c>
      <c r="BM81" s="1">
        <f t="shared" si="118"/>
        <v>-11.850748891634023</v>
      </c>
    </row>
    <row r="82" spans="4:65" x14ac:dyDescent="0.25">
      <c r="D82" s="1">
        <v>1.45030090056343</v>
      </c>
      <c r="E82" s="14">
        <v>4.2684219137783996</v>
      </c>
      <c r="F82" s="1">
        <v>0.13015017288426001</v>
      </c>
      <c r="G82" s="1">
        <f t="shared" si="80"/>
        <v>3.1061605928655783E-2</v>
      </c>
      <c r="H82" s="1">
        <f t="shared" si="81"/>
        <v>0.255332539787406</v>
      </c>
      <c r="I82" s="1">
        <f t="shared" si="82"/>
        <v>9.9856678989239792E-2</v>
      </c>
      <c r="J82" s="1">
        <f t="shared" si="48"/>
        <v>0.22825975516421046</v>
      </c>
      <c r="K82" s="1">
        <f t="shared" si="49"/>
        <v>5.8134390551851323E-2</v>
      </c>
      <c r="L82" s="1">
        <f t="shared" si="50"/>
        <v>-0.1237338246443026</v>
      </c>
      <c r="M82" s="1">
        <f t="shared" si="83"/>
        <v>8.5918243714818543E-2</v>
      </c>
      <c r="N82" s="1">
        <f t="shared" si="84"/>
        <v>0.15891833634074121</v>
      </c>
      <c r="O82" s="1">
        <f t="shared" si="85"/>
        <v>-4.1495325276770807E-2</v>
      </c>
      <c r="P82" s="1">
        <f t="shared" si="86"/>
        <v>-8.8459074188546941E-2</v>
      </c>
      <c r="Q82" s="16">
        <f t="shared" si="87"/>
        <v>16.930401646865249</v>
      </c>
      <c r="R82" s="1">
        <f t="shared" si="88"/>
        <v>16.455584635655022</v>
      </c>
      <c r="S82" s="1">
        <f t="shared" si="89"/>
        <v>5.6645471033315777</v>
      </c>
      <c r="T82" s="1">
        <f t="shared" si="51"/>
        <v>0</v>
      </c>
      <c r="U82" s="1">
        <f t="shared" si="90"/>
        <v>16.930401646865249</v>
      </c>
      <c r="V82" s="1">
        <f t="shared" si="91"/>
        <v>9.7747719483061353</v>
      </c>
      <c r="W82" s="1">
        <f t="shared" si="92"/>
        <v>5.6645471033315777</v>
      </c>
      <c r="Y82" s="1">
        <v>1.65396238176968</v>
      </c>
      <c r="Z82" s="1">
        <v>6.7217410078918904</v>
      </c>
      <c r="AA82" s="1">
        <v>0.20931510920681101</v>
      </c>
      <c r="AB82" s="1">
        <f t="shared" si="93"/>
        <v>1.0959657943336587</v>
      </c>
      <c r="AC82" s="1">
        <f t="shared" si="94"/>
        <v>1.0939165216949378</v>
      </c>
      <c r="AD82" s="1">
        <f t="shared" si="95"/>
        <v>-0.20841050774580977</v>
      </c>
      <c r="AE82" s="1">
        <f t="shared" si="52"/>
        <v>1.0594249266868481</v>
      </c>
      <c r="AF82" s="1">
        <f t="shared" si="53"/>
        <v>1.1304573893417484</v>
      </c>
      <c r="AG82" s="1">
        <f t="shared" si="54"/>
        <v>0.20536452208389902</v>
      </c>
      <c r="AH82" s="1">
        <f t="shared" si="96"/>
        <v>0.65696469480857889</v>
      </c>
      <c r="AI82" s="1">
        <f t="shared" si="97"/>
        <v>-0.83307397425608976</v>
      </c>
      <c r="AJ82" s="1">
        <f t="shared" si="98"/>
        <v>-0.31728958283786135</v>
      </c>
      <c r="AK82" s="1">
        <f t="shared" si="99"/>
        <v>0.12079313110601528</v>
      </c>
      <c r="AL82" s="1">
        <f t="shared" si="100"/>
        <v>184.48670056612963</v>
      </c>
      <c r="AM82" s="1">
        <f t="shared" si="101"/>
        <v>23.257318144249684</v>
      </c>
      <c r="AN82" s="1">
        <f t="shared" si="102"/>
        <v>-29.671703606534358</v>
      </c>
      <c r="AO82" s="1">
        <f t="shared" si="55"/>
        <v>0.20931510920681101</v>
      </c>
      <c r="AP82" s="1">
        <f t="shared" si="103"/>
        <v>184.48670056612963</v>
      </c>
      <c r="AQ82" s="1">
        <f t="shared" si="104"/>
        <v>23.257318144249684</v>
      </c>
      <c r="AR82" s="1">
        <f t="shared" si="105"/>
        <v>-29.671703606534358</v>
      </c>
      <c r="AT82" s="1">
        <v>2.03118146692709</v>
      </c>
      <c r="AU82" s="1">
        <v>4.6432676096185297</v>
      </c>
      <c r="AV82" s="1">
        <v>0.194374879442996</v>
      </c>
      <c r="AW82" s="1">
        <f t="shared" si="106"/>
        <v>0.27171138259650818</v>
      </c>
      <c r="AX82" s="1">
        <f t="shared" si="107"/>
        <v>1.5405595004139865</v>
      </c>
      <c r="AY82" s="1">
        <f t="shared" si="108"/>
        <v>-0.62591583956568608</v>
      </c>
      <c r="AZ82" s="1">
        <f t="shared" si="56"/>
        <v>0.79182181957228903</v>
      </c>
      <c r="BA82" s="1">
        <f t="shared" si="57"/>
        <v>1.0204490634382055</v>
      </c>
      <c r="BB82" s="1">
        <f t="shared" si="58"/>
        <v>0.88385344972004587</v>
      </c>
      <c r="BC82" s="1">
        <f t="shared" si="109"/>
        <v>0.54368126490314839</v>
      </c>
      <c r="BD82" s="1">
        <f t="shared" si="110"/>
        <v>0.2287581058671109</v>
      </c>
      <c r="BE82" s="1">
        <f t="shared" si="111"/>
        <v>0.52515577503945943</v>
      </c>
      <c r="BF82" s="1">
        <f t="shared" si="112"/>
        <v>0.26411165217483773</v>
      </c>
      <c r="BG82" s="1">
        <f t="shared" si="113"/>
        <v>111.88580600052231</v>
      </c>
      <c r="BH82" s="1">
        <f t="shared" si="114"/>
        <v>-23.167920840638548</v>
      </c>
      <c r="BI82" s="1">
        <f t="shared" si="115"/>
        <v>-44.464829249527824</v>
      </c>
      <c r="BJ82" s="1">
        <f t="shared" si="59"/>
        <v>0.194374879442996</v>
      </c>
      <c r="BK82" s="1">
        <f t="shared" si="116"/>
        <v>111.88580600052231</v>
      </c>
      <c r="BL82" s="1">
        <f t="shared" si="117"/>
        <v>-23.167920840638548</v>
      </c>
      <c r="BM82" s="1">
        <f t="shared" si="118"/>
        <v>-44.464829249527824</v>
      </c>
    </row>
    <row r="83" spans="4:65" x14ac:dyDescent="0.25">
      <c r="D83" s="1">
        <v>1.3535316535361399</v>
      </c>
      <c r="E83" s="14">
        <v>5.1685200276373404</v>
      </c>
      <c r="F83" s="1">
        <v>0.15531846832687901</v>
      </c>
      <c r="G83" s="1">
        <f t="shared" si="80"/>
        <v>0.42991683596142066</v>
      </c>
      <c r="H83" s="1">
        <f t="shared" si="81"/>
        <v>1.0264666140998606</v>
      </c>
      <c r="I83" s="1">
        <f t="shared" si="82"/>
        <v>0.44623862665598746</v>
      </c>
      <c r="J83" s="1">
        <f t="shared" si="48"/>
        <v>0.81088830197824513</v>
      </c>
      <c r="K83" s="1">
        <f t="shared" si="49"/>
        <v>0.6454951480830361</v>
      </c>
      <c r="L83" s="1">
        <f t="shared" si="50"/>
        <v>-0.53033772025967196</v>
      </c>
      <c r="M83" s="1">
        <f t="shared" si="83"/>
        <v>0.43691503501838441</v>
      </c>
      <c r="N83" s="1">
        <f t="shared" si="84"/>
        <v>0.54105978277561295</v>
      </c>
      <c r="O83" s="1">
        <f t="shared" si="85"/>
        <v>-0.21101375810912498</v>
      </c>
      <c r="P83" s="1">
        <f t="shared" si="86"/>
        <v>-0.27656971163919475</v>
      </c>
      <c r="Q83" s="16">
        <f t="shared" si="87"/>
        <v>75.008823943758316</v>
      </c>
      <c r="R83" s="1">
        <f t="shared" si="88"/>
        <v>64.570274950001945</v>
      </c>
      <c r="S83" s="1">
        <f t="shared" si="89"/>
        <v>13.63488278599926</v>
      </c>
      <c r="T83" s="1">
        <f t="shared" si="51"/>
        <v>0</v>
      </c>
      <c r="U83" s="1">
        <f t="shared" si="90"/>
        <v>75.008823943758316</v>
      </c>
      <c r="V83" s="1">
        <f t="shared" si="91"/>
        <v>43.306364695526106</v>
      </c>
      <c r="W83" s="1">
        <f t="shared" si="92"/>
        <v>13.63488278599926</v>
      </c>
      <c r="Y83" s="1">
        <v>1.77789643494967</v>
      </c>
      <c r="Z83" s="1">
        <v>5.6454920563193101</v>
      </c>
      <c r="AA83" s="1">
        <v>0.18712902678782001</v>
      </c>
      <c r="AB83" s="1">
        <f t="shared" si="93"/>
        <v>0.65595965617067375</v>
      </c>
      <c r="AC83" s="1">
        <f t="shared" si="94"/>
        <v>1.1168902226916411</v>
      </c>
      <c r="AD83" s="1">
        <f t="shared" si="95"/>
        <v>-0.47463255812398247</v>
      </c>
      <c r="AE83" s="1">
        <f t="shared" si="52"/>
        <v>0.90638210526139495</v>
      </c>
      <c r="AF83" s="1">
        <f t="shared" si="53"/>
        <v>0.86646777360091976</v>
      </c>
      <c r="AG83" s="1">
        <f t="shared" si="54"/>
        <v>0.52724948890603485</v>
      </c>
      <c r="AH83" s="1">
        <f t="shared" si="96"/>
        <v>0.53185496365869445</v>
      </c>
      <c r="AI83" s="1">
        <f t="shared" si="97"/>
        <v>-0.6217411992179025</v>
      </c>
      <c r="AJ83" s="1">
        <f t="shared" si="98"/>
        <v>-0.25686622261898368</v>
      </c>
      <c r="AK83" s="1">
        <f t="shared" si="99"/>
        <v>-0.21679443183182728</v>
      </c>
      <c r="AL83" s="1">
        <f t="shared" si="100"/>
        <v>110.03991077865314</v>
      </c>
      <c r="AM83" s="1">
        <f t="shared" si="101"/>
        <v>71.484739090040478</v>
      </c>
      <c r="AN83" s="1">
        <f t="shared" si="102"/>
        <v>-16.545560339450738</v>
      </c>
      <c r="AO83" s="1">
        <f t="shared" si="55"/>
        <v>0</v>
      </c>
      <c r="AP83" s="1">
        <f t="shared" si="103"/>
        <v>110.03991077865314</v>
      </c>
      <c r="AQ83" s="1">
        <f t="shared" si="104"/>
        <v>63.531572109657787</v>
      </c>
      <c r="AR83" s="1">
        <f t="shared" si="105"/>
        <v>-16.545560339450738</v>
      </c>
      <c r="AT83" s="1">
        <v>1.2173074217414499</v>
      </c>
      <c r="AU83" s="1">
        <v>5.0887616285429296</v>
      </c>
      <c r="AV83" s="1">
        <v>0.19422791266317599</v>
      </c>
      <c r="AW83" s="1">
        <f t="shared" si="106"/>
        <v>0.43627103061303196</v>
      </c>
      <c r="AX83" s="1">
        <f t="shared" si="107"/>
        <v>1.2979505846177022</v>
      </c>
      <c r="AY83" s="1">
        <f t="shared" si="108"/>
        <v>0.66933573816354996</v>
      </c>
      <c r="AZ83" s="1">
        <f t="shared" si="56"/>
        <v>0.75993092674259621</v>
      </c>
      <c r="BA83" s="1">
        <f t="shared" si="57"/>
        <v>0.97429068848813793</v>
      </c>
      <c r="BB83" s="1">
        <f t="shared" si="58"/>
        <v>-0.78876214219906926</v>
      </c>
      <c r="BC83" s="1">
        <f t="shared" si="109"/>
        <v>0.5202664845692202</v>
      </c>
      <c r="BD83" s="1">
        <f t="shared" si="110"/>
        <v>-0.20414666445698196</v>
      </c>
      <c r="BE83" s="1">
        <f t="shared" si="111"/>
        <v>0.50253883399803279</v>
      </c>
      <c r="BF83" s="1">
        <f t="shared" si="112"/>
        <v>0.25216498564677753</v>
      </c>
      <c r="BG83" s="1">
        <f t="shared" si="113"/>
        <v>106.95749284014582</v>
      </c>
      <c r="BH83" s="1">
        <f t="shared" si="114"/>
        <v>-22.046043356432921</v>
      </c>
      <c r="BI83" s="1">
        <f t="shared" si="115"/>
        <v>39.65098051462936</v>
      </c>
      <c r="BJ83" s="1">
        <f t="shared" si="59"/>
        <v>0.19422791266317599</v>
      </c>
      <c r="BK83" s="1">
        <f t="shared" si="116"/>
        <v>106.95749284014582</v>
      </c>
      <c r="BL83" s="1">
        <f t="shared" si="117"/>
        <v>-22.046043356432921</v>
      </c>
      <c r="BM83" s="1">
        <f t="shared" si="118"/>
        <v>39.65098051462936</v>
      </c>
    </row>
    <row r="84" spans="4:65" x14ac:dyDescent="0.25">
      <c r="D84" s="1">
        <v>1.3688871030346901</v>
      </c>
      <c r="E84" s="14">
        <v>5.7529034026598698</v>
      </c>
      <c r="F84" s="1">
        <v>0.15383988959111899</v>
      </c>
      <c r="G84" s="1">
        <f t="shared" si="80"/>
        <v>0.70441066709917421</v>
      </c>
      <c r="H84" s="1">
        <f t="shared" si="81"/>
        <v>1.1251565612164434</v>
      </c>
      <c r="I84" s="1">
        <f t="shared" si="82"/>
        <v>0.46999392467163259</v>
      </c>
      <c r="J84" s="1">
        <f t="shared" si="48"/>
        <v>0.92355980283744854</v>
      </c>
      <c r="K84" s="1">
        <f t="shared" si="49"/>
        <v>0.90600742547816915</v>
      </c>
      <c r="L84" s="1">
        <f t="shared" si="50"/>
        <v>-0.51485342049425942</v>
      </c>
      <c r="M84" s="1">
        <f t="shared" si="83"/>
        <v>0.54887016849468528</v>
      </c>
      <c r="N84" s="1">
        <f t="shared" si="84"/>
        <v>0.63931896189031034</v>
      </c>
      <c r="O84" s="1">
        <f t="shared" si="85"/>
        <v>-0.26508393551432441</v>
      </c>
      <c r="P84" s="1">
        <f t="shared" si="86"/>
        <v>-0.19619130356057227</v>
      </c>
      <c r="Q84" s="16">
        <f t="shared" si="87"/>
        <v>94.157458094093968</v>
      </c>
      <c r="R84" s="1">
        <f t="shared" si="88"/>
        <v>56.476170723449208</v>
      </c>
      <c r="S84" s="1">
        <f t="shared" si="89"/>
        <v>13.859444676680191</v>
      </c>
      <c r="T84" s="1">
        <f t="shared" si="51"/>
        <v>0</v>
      </c>
      <c r="U84" s="1">
        <f t="shared" si="90"/>
        <v>94.157458094093968</v>
      </c>
      <c r="V84" s="1">
        <f t="shared" si="91"/>
        <v>54.361833776836058</v>
      </c>
      <c r="W84" s="1">
        <f t="shared" si="92"/>
        <v>13.859444676680191</v>
      </c>
      <c r="Y84" s="1">
        <v>1.8250179999406</v>
      </c>
      <c r="Z84" s="1">
        <v>5.3850821160567603</v>
      </c>
      <c r="AA84" s="1">
        <v>0.23175491426832301</v>
      </c>
      <c r="AB84" s="1">
        <f t="shared" si="93"/>
        <v>0.54424862018486331</v>
      </c>
      <c r="AC84" s="1">
        <f t="shared" si="94"/>
        <v>1.1439890881630854</v>
      </c>
      <c r="AD84" s="1">
        <f t="shared" si="95"/>
        <v>-0.54755594811065256</v>
      </c>
      <c r="AE84" s="1">
        <f t="shared" si="52"/>
        <v>0.83949637142368183</v>
      </c>
      <c r="AF84" s="1">
        <f t="shared" si="53"/>
        <v>0.84874133692426712</v>
      </c>
      <c r="AG84" s="1">
        <f t="shared" si="54"/>
        <v>0.62427422355665385</v>
      </c>
      <c r="AH84" s="1">
        <f t="shared" si="96"/>
        <v>0.50647131250438471</v>
      </c>
      <c r="AI84" s="1">
        <f t="shared" si="97"/>
        <v>-0.54067834320158925</v>
      </c>
      <c r="AJ84" s="1">
        <f t="shared" si="98"/>
        <v>-0.2446068605112536</v>
      </c>
      <c r="AK84" s="1">
        <f t="shared" si="99"/>
        <v>-0.30254514364662627</v>
      </c>
      <c r="AL84" s="1">
        <f t="shared" si="100"/>
        <v>114.05072918987409</v>
      </c>
      <c r="AM84" s="1">
        <f t="shared" si="101"/>
        <v>103.14956069978139</v>
      </c>
      <c r="AN84" s="1">
        <f t="shared" si="102"/>
        <v>-13.558454265649258</v>
      </c>
      <c r="AO84" s="1">
        <f t="shared" si="55"/>
        <v>0</v>
      </c>
      <c r="AP84" s="1">
        <f t="shared" si="103"/>
        <v>114.05072918987409</v>
      </c>
      <c r="AQ84" s="1">
        <f t="shared" si="104"/>
        <v>65.847219199046904</v>
      </c>
      <c r="AR84" s="1">
        <f t="shared" si="105"/>
        <v>-13.558454265649258</v>
      </c>
      <c r="AT84" s="1">
        <v>1.1428930440012901</v>
      </c>
      <c r="AU84" s="1">
        <v>4.3338703332702702</v>
      </c>
      <c r="AV84" s="1">
        <v>0.18352906138432101</v>
      </c>
      <c r="AW84" s="1">
        <f t="shared" si="106"/>
        <v>0.11721423532216751</v>
      </c>
      <c r="AX84" s="1">
        <f t="shared" si="107"/>
        <v>1.281702725180706</v>
      </c>
      <c r="AY84" s="1">
        <f t="shared" si="108"/>
        <v>0.37585419295046718</v>
      </c>
      <c r="AZ84" s="1">
        <f t="shared" si="56"/>
        <v>0.79737596273608657</v>
      </c>
      <c r="BA84" s="1">
        <f t="shared" si="57"/>
        <v>0.60154099776678693</v>
      </c>
      <c r="BB84" s="1">
        <f t="shared" si="58"/>
        <v>-0.68606625171011748</v>
      </c>
      <c r="BC84" s="1">
        <f t="shared" si="109"/>
        <v>0.41967508815086202</v>
      </c>
      <c r="BD84" s="1">
        <f t="shared" si="110"/>
        <v>-0.17756701214467843</v>
      </c>
      <c r="BE84" s="1">
        <f t="shared" si="111"/>
        <v>0.40537500629505896</v>
      </c>
      <c r="BF84" s="1">
        <f t="shared" si="112"/>
        <v>0.15569026663201752</v>
      </c>
      <c r="BG84" s="1">
        <f t="shared" si="113"/>
        <v>79.258455594224259</v>
      </c>
      <c r="BH84" s="1">
        <f t="shared" si="114"/>
        <v>-8.3444199224041409</v>
      </c>
      <c r="BI84" s="1">
        <f t="shared" si="115"/>
        <v>32.588707071731143</v>
      </c>
      <c r="BJ84" s="1">
        <f t="shared" si="59"/>
        <v>0.18352906138432101</v>
      </c>
      <c r="BK84" s="1">
        <f t="shared" si="116"/>
        <v>79.258455594224259</v>
      </c>
      <c r="BL84" s="1">
        <f t="shared" si="117"/>
        <v>-8.3444199224041409</v>
      </c>
      <c r="BM84" s="1">
        <f t="shared" si="118"/>
        <v>32.588707071731143</v>
      </c>
    </row>
    <row r="85" spans="4:65" x14ac:dyDescent="0.25">
      <c r="D85" s="1">
        <v>1.18797123466223</v>
      </c>
      <c r="E85" s="14">
        <v>5.0668601151170103</v>
      </c>
      <c r="F85" s="1">
        <v>0.116710563172473</v>
      </c>
      <c r="G85" s="1">
        <f t="shared" si="80"/>
        <v>0.43801118520858395</v>
      </c>
      <c r="H85" s="1">
        <f t="shared" si="81"/>
        <v>1.3736348351822649</v>
      </c>
      <c r="I85" s="1">
        <f t="shared" si="82"/>
        <v>0.70808638303875526</v>
      </c>
      <c r="J85" s="1">
        <f t="shared" si="48"/>
        <v>0.75237546173099523</v>
      </c>
      <c r="K85" s="1">
        <f t="shared" si="49"/>
        <v>1.0592705586598536</v>
      </c>
      <c r="L85" s="1">
        <f t="shared" si="50"/>
        <v>-0.83467842868537212</v>
      </c>
      <c r="M85" s="1">
        <f t="shared" si="83"/>
        <v>0.54349380611725462</v>
      </c>
      <c r="N85" s="1">
        <f t="shared" si="84"/>
        <v>0.41334366639021825</v>
      </c>
      <c r="O85" s="1">
        <f t="shared" si="85"/>
        <v>-0.26248735187839983</v>
      </c>
      <c r="P85" s="1">
        <f t="shared" si="86"/>
        <v>-0.42406271947601204</v>
      </c>
      <c r="Q85" s="16">
        <f t="shared" si="87"/>
        <v>42.340825786792614</v>
      </c>
      <c r="R85" s="1">
        <f t="shared" si="88"/>
        <v>62.583698731536643</v>
      </c>
      <c r="S85" s="1">
        <f t="shared" si="89"/>
        <v>-2.4099426125194601</v>
      </c>
      <c r="T85" s="1">
        <f t="shared" si="51"/>
        <v>0</v>
      </c>
      <c r="U85" s="1">
        <f t="shared" si="90"/>
        <v>42.340825786792614</v>
      </c>
      <c r="V85" s="1">
        <f t="shared" si="91"/>
        <v>24.445487165715761</v>
      </c>
      <c r="W85" s="1">
        <f t="shared" si="92"/>
        <v>-2.4099426125194601</v>
      </c>
      <c r="Y85" s="1">
        <v>1.84928118827806</v>
      </c>
      <c r="Z85" s="1">
        <v>5.98870191731341</v>
      </c>
      <c r="AA85" s="1">
        <v>0.18456505770290499</v>
      </c>
      <c r="AB85" s="1">
        <f t="shared" si="93"/>
        <v>0.8217150144260017</v>
      </c>
      <c r="AC85" s="1">
        <f t="shared" si="94"/>
        <v>1.2568128530730585</v>
      </c>
      <c r="AD85" s="1">
        <f t="shared" si="95"/>
        <v>-0.64699180284109914</v>
      </c>
      <c r="AE85" s="1">
        <f t="shared" si="52"/>
        <v>0.88192225420740522</v>
      </c>
      <c r="AF85" s="1">
        <f t="shared" si="53"/>
        <v>1.1966056132916552</v>
      </c>
      <c r="AG85" s="1">
        <f t="shared" si="54"/>
        <v>0.66420593276579065</v>
      </c>
      <c r="AH85" s="1">
        <f t="shared" si="96"/>
        <v>0.62355836024971811</v>
      </c>
      <c r="AI85" s="1">
        <f t="shared" si="97"/>
        <v>-0.56583319900382278</v>
      </c>
      <c r="AJ85" s="1">
        <f t="shared" si="98"/>
        <v>-0.30115556218183304</v>
      </c>
      <c r="AK85" s="1">
        <f t="shared" si="99"/>
        <v>-0.24591476960149961</v>
      </c>
      <c r="AL85" s="1">
        <f t="shared" si="100"/>
        <v>102.45727526771775</v>
      </c>
      <c r="AM85" s="1">
        <f t="shared" si="101"/>
        <v>74.44170746147482</v>
      </c>
      <c r="AN85" s="1">
        <f t="shared" si="102"/>
        <v>-4.0804071445891186</v>
      </c>
      <c r="AO85" s="1">
        <f t="shared" si="55"/>
        <v>0</v>
      </c>
      <c r="AP85" s="1">
        <f t="shared" si="103"/>
        <v>102.45727526771775</v>
      </c>
      <c r="AQ85" s="1">
        <f t="shared" si="104"/>
        <v>59.153735456252427</v>
      </c>
      <c r="AR85" s="1">
        <f t="shared" si="105"/>
        <v>-4.0804071445891186</v>
      </c>
      <c r="AT85" s="1">
        <v>1.5710057021770101</v>
      </c>
      <c r="AU85" s="1">
        <v>8.6785310917374598</v>
      </c>
      <c r="AV85" s="1">
        <v>0.16129032846142799</v>
      </c>
      <c r="AW85" s="1">
        <f t="shared" si="106"/>
        <v>1.6521088136461526</v>
      </c>
      <c r="AX85" s="1">
        <f t="shared" si="107"/>
        <v>1.0548842494857285</v>
      </c>
      <c r="AY85" s="1">
        <f t="shared" si="108"/>
        <v>-5.1027416300747147E-4</v>
      </c>
      <c r="AZ85" s="1">
        <f t="shared" si="56"/>
        <v>1.054884061989199</v>
      </c>
      <c r="BA85" s="1">
        <f t="shared" si="57"/>
        <v>1.6521090011426818</v>
      </c>
      <c r="BB85" s="1">
        <f t="shared" si="58"/>
        <v>3.8523000059445116E-4</v>
      </c>
      <c r="BC85" s="1">
        <f t="shared" si="109"/>
        <v>0.81209791893956418</v>
      </c>
      <c r="BD85" s="1">
        <f t="shared" si="110"/>
        <v>9.9704860898449675E-5</v>
      </c>
      <c r="BE85" s="1">
        <f t="shared" si="111"/>
        <v>0.78442635337933131</v>
      </c>
      <c r="BF85" s="1">
        <f t="shared" si="112"/>
        <v>0.42759727408102827</v>
      </c>
      <c r="BG85" s="1">
        <f t="shared" si="113"/>
        <v>140.05935860941645</v>
      </c>
      <c r="BH85" s="1">
        <f t="shared" si="114"/>
        <v>-33.871415839945108</v>
      </c>
      <c r="BI85" s="1">
        <f t="shared" si="115"/>
        <v>-1.6081429763542935E-2</v>
      </c>
      <c r="BJ85" s="1">
        <f t="shared" si="59"/>
        <v>0.16129032846142799</v>
      </c>
      <c r="BK85" s="1">
        <f t="shared" si="116"/>
        <v>140.05935860941645</v>
      </c>
      <c r="BL85" s="1">
        <f t="shared" si="117"/>
        <v>-33.871415839945108</v>
      </c>
      <c r="BM85" s="1">
        <f t="shared" si="118"/>
        <v>-1.6081429763542935E-2</v>
      </c>
    </row>
    <row r="86" spans="4:65" x14ac:dyDescent="0.25">
      <c r="D86" s="1">
        <v>1.5104589848227901</v>
      </c>
      <c r="E86" s="14">
        <v>7.0514804352971998</v>
      </c>
      <c r="F86" s="1">
        <v>0.14744864638608099</v>
      </c>
      <c r="G86" s="1">
        <f t="shared" si="80"/>
        <v>1.2123278752718885</v>
      </c>
      <c r="H86" s="1">
        <f t="shared" si="81"/>
        <v>1.0901883973553343</v>
      </c>
      <c r="I86" s="1">
        <f t="shared" si="82"/>
        <v>0.15163578277685508</v>
      </c>
      <c r="J86" s="1">
        <f t="shared" si="48"/>
        <v>1.0723782977327789</v>
      </c>
      <c r="K86" s="1">
        <f t="shared" si="49"/>
        <v>1.2301379748944443</v>
      </c>
      <c r="L86" s="1">
        <f t="shared" si="50"/>
        <v>-0.14318133502745198</v>
      </c>
      <c r="M86" s="1">
        <f t="shared" si="83"/>
        <v>0.69075488178816691</v>
      </c>
      <c r="N86" s="1">
        <f t="shared" si="84"/>
        <v>0.86000387341975748</v>
      </c>
      <c r="O86" s="1">
        <f t="shared" si="85"/>
        <v>-0.33360898997722127</v>
      </c>
      <c r="P86" s="1">
        <f t="shared" si="86"/>
        <v>0.19860961486511985</v>
      </c>
      <c r="Q86" s="16">
        <f t="shared" si="87"/>
        <v>137.41210925674358</v>
      </c>
      <c r="R86" s="1">
        <f t="shared" si="88"/>
        <v>6.5016918083225566</v>
      </c>
      <c r="S86" s="1">
        <f t="shared" si="89"/>
        <v>20.803245895056637</v>
      </c>
      <c r="T86" s="1">
        <f t="shared" si="51"/>
        <v>0.14744864638608099</v>
      </c>
      <c r="U86" s="1">
        <f t="shared" si="90"/>
        <v>137.41210925674358</v>
      </c>
      <c r="V86" s="1">
        <f t="shared" si="91"/>
        <v>6.5016918083225566</v>
      </c>
      <c r="W86" s="1">
        <f t="shared" si="92"/>
        <v>20.803245895056637</v>
      </c>
      <c r="Y86" s="1">
        <v>1.6839202398637301</v>
      </c>
      <c r="Z86" s="1">
        <v>5.7229365645180099</v>
      </c>
      <c r="AA86" s="1">
        <v>0.104843030041517</v>
      </c>
      <c r="AB86" s="1">
        <f t="shared" si="93"/>
        <v>0.67835517798865963</v>
      </c>
      <c r="AC86" s="1">
        <f t="shared" si="94"/>
        <v>1.0321010098606715</v>
      </c>
      <c r="AD86" s="1">
        <f t="shared" si="95"/>
        <v>-0.26733085006934043</v>
      </c>
      <c r="AE86" s="1">
        <f t="shared" si="52"/>
        <v>0.96762505369873009</v>
      </c>
      <c r="AF86" s="1">
        <f t="shared" si="53"/>
        <v>0.74283113415060098</v>
      </c>
      <c r="AG86" s="1">
        <f t="shared" si="54"/>
        <v>0.3001944956591458</v>
      </c>
      <c r="AH86" s="1">
        <f t="shared" si="96"/>
        <v>0.51313685635479922</v>
      </c>
      <c r="AI86" s="1">
        <f t="shared" si="97"/>
        <v>-0.73173808061262635</v>
      </c>
      <c r="AJ86" s="1">
        <f t="shared" si="98"/>
        <v>-0.24782607098694243</v>
      </c>
      <c r="AK86" s="1">
        <f t="shared" si="99"/>
        <v>-5.8858745097942922E-2</v>
      </c>
      <c r="AL86" s="1">
        <f t="shared" si="100"/>
        <v>75.127146877737786</v>
      </c>
      <c r="AM86" s="1">
        <f t="shared" si="101"/>
        <v>26.51887432712331</v>
      </c>
      <c r="AN86" s="1">
        <f t="shared" si="102"/>
        <v>-15.857022567715015</v>
      </c>
      <c r="AO86" s="1">
        <f t="shared" si="55"/>
        <v>0.104843030041517</v>
      </c>
      <c r="AP86" s="1">
        <f t="shared" si="103"/>
        <v>75.127146877737786</v>
      </c>
      <c r="AQ86" s="1">
        <f t="shared" si="104"/>
        <v>26.51887432712331</v>
      </c>
      <c r="AR86" s="1">
        <f t="shared" si="105"/>
        <v>-15.857022567715015</v>
      </c>
      <c r="AT86" s="1">
        <v>1.59712086659982</v>
      </c>
      <c r="AU86" s="1">
        <v>8.0404380312449195</v>
      </c>
      <c r="AV86" s="1">
        <v>0.233115085457101</v>
      </c>
      <c r="AW86" s="1">
        <f t="shared" si="106"/>
        <v>1.5035296824553437</v>
      </c>
      <c r="AX86" s="1">
        <f t="shared" si="107"/>
        <v>1.0722481460882762</v>
      </c>
      <c r="AY86" s="1">
        <f t="shared" si="108"/>
        <v>-6.520783822744658E-2</v>
      </c>
      <c r="AZ86" s="1">
        <f t="shared" si="56"/>
        <v>1.0691154003175152</v>
      </c>
      <c r="BA86" s="1">
        <f t="shared" si="57"/>
        <v>1.5066624282261045</v>
      </c>
      <c r="BB86" s="1">
        <f t="shared" si="58"/>
        <v>5.3769439844314759E-2</v>
      </c>
      <c r="BC86" s="1">
        <f t="shared" si="109"/>
        <v>0.77273334856308595</v>
      </c>
      <c r="BD86" s="1">
        <f t="shared" si="110"/>
        <v>1.3916555076202724E-2</v>
      </c>
      <c r="BE86" s="1">
        <f t="shared" si="111"/>
        <v>0.74640309821191742</v>
      </c>
      <c r="BF86" s="1">
        <f t="shared" si="112"/>
        <v>0.38995293096532557</v>
      </c>
      <c r="BG86" s="1">
        <f t="shared" si="113"/>
        <v>191.59665340823776</v>
      </c>
      <c r="BH86" s="1">
        <f t="shared" si="114"/>
        <v>-42.772485031274023</v>
      </c>
      <c r="BI86" s="1">
        <f t="shared" si="115"/>
        <v>-3.244158925857493</v>
      </c>
      <c r="BJ86" s="1">
        <f t="shared" si="59"/>
        <v>0.233115085457101</v>
      </c>
      <c r="BK86" s="1">
        <f t="shared" si="116"/>
        <v>191.59665340823776</v>
      </c>
      <c r="BL86" s="1">
        <f t="shared" si="117"/>
        <v>-42.772485031274023</v>
      </c>
      <c r="BM86" s="1">
        <f t="shared" si="118"/>
        <v>-3.244158925857493</v>
      </c>
    </row>
    <row r="87" spans="4:65" x14ac:dyDescent="0.25">
      <c r="D87" s="1">
        <v>1.38373848775848</v>
      </c>
      <c r="E87" s="14">
        <v>6.0889111173393902</v>
      </c>
      <c r="F87" s="1">
        <v>0.175465730986887</v>
      </c>
      <c r="G87" s="1">
        <f t="shared" si="80"/>
        <v>0.85026771569932325</v>
      </c>
      <c r="H87" s="1">
        <f t="shared" si="81"/>
        <v>1.1412720362623046</v>
      </c>
      <c r="I87" s="1">
        <f t="shared" si="82"/>
        <v>0.45047018777463421</v>
      </c>
      <c r="J87" s="1">
        <f t="shared" si="48"/>
        <v>0.96658370789041781</v>
      </c>
      <c r="K87" s="1">
        <f t="shared" si="49"/>
        <v>1.02495604407121</v>
      </c>
      <c r="L87" s="1">
        <f t="shared" si="50"/>
        <v>-0.47248538211514429</v>
      </c>
      <c r="M87" s="1">
        <f t="shared" si="83"/>
        <v>0.59746192558848832</v>
      </c>
      <c r="N87" s="1">
        <f t="shared" si="84"/>
        <v>0.68627481515373612</v>
      </c>
      <c r="O87" s="1">
        <f t="shared" si="85"/>
        <v>-0.2885519520751591</v>
      </c>
      <c r="P87" s="1">
        <f t="shared" si="86"/>
        <v>-0.12996358081853854</v>
      </c>
      <c r="Q87" s="16">
        <f t="shared" si="87"/>
        <v>119.28211509217147</v>
      </c>
      <c r="R87" s="1">
        <f t="shared" si="88"/>
        <v>55.570144596071145</v>
      </c>
      <c r="S87" s="1">
        <f t="shared" si="89"/>
        <v>16.361141844985216</v>
      </c>
      <c r="T87" s="1">
        <f t="shared" si="51"/>
        <v>0.175465730986887</v>
      </c>
      <c r="U87" s="1">
        <f t="shared" si="90"/>
        <v>119.28211509217147</v>
      </c>
      <c r="V87" s="1">
        <f t="shared" si="91"/>
        <v>55.570144596071145</v>
      </c>
      <c r="W87" s="1">
        <f t="shared" si="92"/>
        <v>16.361141844985216</v>
      </c>
      <c r="Y87" s="1">
        <v>1.8602284570693599</v>
      </c>
      <c r="Z87" s="1">
        <v>4.1031731539510199</v>
      </c>
      <c r="AA87" s="1">
        <v>9.2825651577967003E-2</v>
      </c>
      <c r="AB87" s="1">
        <f t="shared" si="93"/>
        <v>1.4437999113225741E-2</v>
      </c>
      <c r="AC87" s="1">
        <f t="shared" si="94"/>
        <v>0.48850676637077006</v>
      </c>
      <c r="AD87" s="1">
        <f t="shared" si="95"/>
        <v>-9.8863598045819248E-2</v>
      </c>
      <c r="AE87" s="1">
        <f t="shared" si="52"/>
        <v>0.39580453412102512</v>
      </c>
      <c r="AF87" s="1">
        <f t="shared" si="53"/>
        <v>0.10714023136297068</v>
      </c>
      <c r="AG87" s="1">
        <f t="shared" si="54"/>
        <v>0.21243243659841315</v>
      </c>
      <c r="AH87" s="1">
        <f t="shared" si="96"/>
        <v>0.15088342964519874</v>
      </c>
      <c r="AI87" s="1">
        <f t="shared" si="97"/>
        <v>-0.27611538549638182</v>
      </c>
      <c r="AJ87" s="1">
        <f t="shared" si="98"/>
        <v>-7.287110072668361E-2</v>
      </c>
      <c r="AK87" s="1">
        <f t="shared" si="99"/>
        <v>-0.14997326428389351</v>
      </c>
      <c r="AL87" s="1">
        <f t="shared" si="100"/>
        <v>21.104201847475938</v>
      </c>
      <c r="AM87" s="1">
        <f t="shared" si="101"/>
        <v>20.067312436100877</v>
      </c>
      <c r="AN87" s="1">
        <f t="shared" si="102"/>
        <v>-6.9572332319614913</v>
      </c>
      <c r="AO87" s="1">
        <f t="shared" si="55"/>
        <v>0</v>
      </c>
      <c r="AP87" s="1">
        <f t="shared" si="103"/>
        <v>21.104201847475938</v>
      </c>
      <c r="AQ87" s="1">
        <f t="shared" si="104"/>
        <v>12.184516617672429</v>
      </c>
      <c r="AR87" s="1">
        <f t="shared" si="105"/>
        <v>-6.9572332319614913</v>
      </c>
      <c r="AT87" s="1">
        <v>1.8208206669478999</v>
      </c>
      <c r="AU87" s="1">
        <v>5.2695123375433202</v>
      </c>
      <c r="AV87" s="1">
        <v>0.14054049321446599</v>
      </c>
      <c r="AW87" s="1">
        <f t="shared" si="106"/>
        <v>0.48768200470772183</v>
      </c>
      <c r="AX87" s="1">
        <f t="shared" si="107"/>
        <v>1.1109365501854394</v>
      </c>
      <c r="AY87" s="1">
        <f t="shared" si="108"/>
        <v>-0.52394805202916128</v>
      </c>
      <c r="AZ87" s="1">
        <f t="shared" si="56"/>
        <v>0.8215642042236615</v>
      </c>
      <c r="BA87" s="1">
        <f t="shared" si="57"/>
        <v>0.77705435066949957</v>
      </c>
      <c r="BB87" s="1">
        <f t="shared" si="58"/>
        <v>0.60921083097229856</v>
      </c>
      <c r="BC87" s="1">
        <f t="shared" si="109"/>
        <v>0.47958556646794831</v>
      </c>
      <c r="BD87" s="1">
        <f t="shared" si="110"/>
        <v>0.15767536553836328</v>
      </c>
      <c r="BE87" s="1">
        <f t="shared" si="111"/>
        <v>0.46324408456686389</v>
      </c>
      <c r="BF87" s="1">
        <f t="shared" si="112"/>
        <v>0.20111646503303904</v>
      </c>
      <c r="BG87" s="1">
        <f t="shared" si="113"/>
        <v>70.201690475823852</v>
      </c>
      <c r="BH87" s="1">
        <f t="shared" si="114"/>
        <v>-10.451602411898374</v>
      </c>
      <c r="BI87" s="1">
        <f t="shared" si="115"/>
        <v>-22.159773640532805</v>
      </c>
      <c r="BJ87" s="1">
        <f t="shared" si="59"/>
        <v>0.14054049321446599</v>
      </c>
      <c r="BK87" s="1">
        <f t="shared" si="116"/>
        <v>70.201690475823852</v>
      </c>
      <c r="BL87" s="1">
        <f t="shared" si="117"/>
        <v>-10.451602411898374</v>
      </c>
      <c r="BM87" s="1">
        <f t="shared" si="118"/>
        <v>-22.159773640532805</v>
      </c>
    </row>
    <row r="88" spans="4:65" x14ac:dyDescent="0.25">
      <c r="D88" s="1">
        <v>1.36038374470922</v>
      </c>
      <c r="E88" s="14">
        <v>6.2451328055834603</v>
      </c>
      <c r="F88" s="1">
        <v>0.25473764317903902</v>
      </c>
      <c r="G88" s="1">
        <f t="shared" ref="G88:G121" si="119">pv/2*(1+kh)*(1-(R0/E88)^2)-pv/2*(1-kh)*(1-4*(R0/E88)^2+3*(R0/E88)^4)*COS(2*D88)</f>
        <v>0.91766601802275161</v>
      </c>
      <c r="H88" s="1">
        <f t="shared" ref="H88:H121" si="120">pv/2*(1+kh)*(1+(R0/E88)^2)+pv/2*(1-kh)*(1+3*(R0/E88)^4)*COS(2*D88)</f>
        <v>1.1769271244692536</v>
      </c>
      <c r="I88" s="1">
        <f t="shared" ref="I88:I121" si="121">pv/2*(1-kh)*(1+2*(R0/E88)^2-3*(R0/E88)^4)*SIN(2*D88)</f>
        <v>0.50787761722465163</v>
      </c>
      <c r="J88" s="1">
        <f t="shared" si="48"/>
        <v>0.95814214245791829</v>
      </c>
      <c r="K88" s="1">
        <f t="shared" si="49"/>
        <v>1.1364510000340871</v>
      </c>
      <c r="L88" s="1">
        <f t="shared" si="50"/>
        <v>-0.51652225724960421</v>
      </c>
      <c r="M88" s="1">
        <f t="shared" ref="M88:M121" si="122">v*(K88+J88)</f>
        <v>0.62837794274760161</v>
      </c>
      <c r="N88" s="1">
        <f t="shared" ref="N88:N121" si="123">J88*nxa+0*nya+L88*nza</f>
        <v>0.66781572606878092</v>
      </c>
      <c r="O88" s="1">
        <f t="shared" ref="O88:O121" si="124">0*nxa+M88*nya+0*nza</f>
        <v>-0.30348324178515085</v>
      </c>
      <c r="P88" s="1">
        <f t="shared" ref="P88:P121" si="125">L88*nxa+0*nya+K88*nza</f>
        <v>-0.1379441267981209</v>
      </c>
      <c r="Q88" s="16">
        <f t="shared" ref="Q88:Q119" si="126">(N88*nxa+O88*nya+P88*nza)*F88*1000</f>
        <v>170.54871834608116</v>
      </c>
      <c r="R88" s="1">
        <f t="shared" ref="R88:R121" si="127">(N88*mxa+O88*mya+P88*mza)*F88*1000</f>
        <v>82.077542621796823</v>
      </c>
      <c r="S88" s="1">
        <f t="shared" ref="S88:S121" si="128">(N88*kxa+O88*kya+P88*kza)*F88*1000</f>
        <v>18.10768555188589</v>
      </c>
      <c r="T88" s="1">
        <f t="shared" si="51"/>
        <v>0.25473764317903902</v>
      </c>
      <c r="U88" s="1">
        <f t="shared" ref="U88:U121" si="129">IF(-Q88&gt;=σt1*F88,0,Q88)</f>
        <v>170.54871834608116</v>
      </c>
      <c r="V88" s="1">
        <f t="shared" ref="V88:V121" si="130">IF(-Q88&gt;=σt1*F88,0,SIGN(R88)*IF(Q88&lt;0,MIN(ABS(R88),c_1*F88),MIN(ABS(R88),c_1*F88+Q88*TAN(φ1))))</f>
        <v>82.077542621796823</v>
      </c>
      <c r="W88" s="1">
        <f t="shared" ref="W88:W121" si="131">IF(-Q88&gt;=σt1*F88,0,SIGN(S88)*IF(Q88&lt;0,MIN(ABS(S88),c_1*F88),MIN(ABS(S88),c_1*F88+Q88*TAN(φ1))))</f>
        <v>18.10768555188589</v>
      </c>
      <c r="Y88" s="1">
        <v>1.6428086199306</v>
      </c>
      <c r="Z88" s="1">
        <v>7.5702119757159503</v>
      </c>
      <c r="AA88" s="1">
        <v>0.11539874613793299</v>
      </c>
      <c r="AB88" s="1">
        <f t="shared" ref="AB88:AB123" si="132">pv/2*(1+kh)*(1-(R0/Z88)^2)-pv/2*(1-kh)*(1-4*(R0/Z88)^2+3*(R0/Z88)^4)*COS(2*Y88)</f>
        <v>1.3745074989154811</v>
      </c>
      <c r="AC88" s="1">
        <f t="shared" ref="AC88:AC123" si="133">pv/2*(1+kh)*(1+(R0/Z88)^2)+pv/2*(1-kh)*(1+3*(R0/Z88)^4)*COS(2*Y88)</f>
        <v>1.0910711542132592</v>
      </c>
      <c r="AD88" s="1">
        <f t="shared" ref="AD88:AD123" si="134">pv/2*(1-kh)*(1+2*(R0/Z88)^2-3*(R0/Z88)^4)*SIN(2*Y88)</f>
        <v>-0.17965153940690406</v>
      </c>
      <c r="AE88" s="1">
        <f t="shared" si="52"/>
        <v>1.0667535715626728</v>
      </c>
      <c r="AF88" s="1">
        <f t="shared" si="53"/>
        <v>1.398825081566067</v>
      </c>
      <c r="AG88" s="1">
        <f t="shared" si="54"/>
        <v>0.15745108461622603</v>
      </c>
      <c r="AH88" s="1">
        <f t="shared" ref="AH88:AH123" si="135">v*(AF88+AE88)</f>
        <v>0.73967359593862192</v>
      </c>
      <c r="AI88" s="1">
        <f t="shared" ref="AI88:AI123" si="136">AE88*nxb+0*nyb+AG88*nzb</f>
        <v>-0.85160541531198408</v>
      </c>
      <c r="AJ88" s="1">
        <f t="shared" ref="AJ88:AJ123" si="137">0*nxb+AH88*nyb+0*nzb</f>
        <v>-0.35723491467061025</v>
      </c>
      <c r="AK88" s="1">
        <f t="shared" ref="AK88:AK123" si="138">AG88*nxb+0*nyb+AF88*nzb</f>
        <v>0.230332172553711</v>
      </c>
      <c r="AL88" s="1">
        <f t="shared" ref="AL88:AL119" si="139">(AI88*nxb+AJ88*nyb+AK88*nzb)*AA88*1000</f>
        <v>108.99727560838836</v>
      </c>
      <c r="AM88" s="1">
        <f t="shared" ref="AM88:AM123" si="140">(AI88*mxb+AJ88*myb+AK88*mzb)*AA88*1000</f>
        <v>1.6880456443320278</v>
      </c>
      <c r="AN88" s="1">
        <f t="shared" ref="AN88:AN123" si="141">(AI88*kxb+AJ88*kyb+AK88*kzb)*AA88*1000</f>
        <v>-13.435667883408904</v>
      </c>
      <c r="AO88" s="1">
        <f t="shared" si="55"/>
        <v>0.11539874613793299</v>
      </c>
      <c r="AP88" s="1">
        <f t="shared" ref="AP88:AP123" si="142">IF(-AL88&gt;=σt1*AA88,0,AL88)</f>
        <v>108.99727560838836</v>
      </c>
      <c r="AQ88" s="1">
        <f t="shared" ref="AQ88:AQ123" si="143">IF(-AL88&gt;=σt1*AA88,0,SIGN(AM88)*IF(AL88&lt;0,MIN(ABS(AM88),c_1*AA88),MIN(ABS(AM88),c_1*AA88+AL88*TAN(φ1))))</f>
        <v>1.6880456443320278</v>
      </c>
      <c r="AR88" s="1">
        <f t="shared" ref="AR88:AR123" si="144">IF(-AL88&gt;=σt1*AA88,0,SIGN(AN88)*IF(AL88&lt;0,MIN(ABS(AN88),c_1*AA88),MIN(ABS(AN88),c_1*AA88+AL88*TAN(φ1))))</f>
        <v>-13.435667883408904</v>
      </c>
      <c r="AT88" s="1">
        <v>1.9263785832247899</v>
      </c>
      <c r="AU88" s="1">
        <v>5.0940159691444897</v>
      </c>
      <c r="AV88" s="1">
        <v>0.18759017718824</v>
      </c>
      <c r="AW88" s="1">
        <f t="shared" ref="AW88:AW124" si="145">pv/2*(1+kh)*(1-(R0/AU88)^2)-pv/2*(1-kh)*(1-4*(R0/AU88)^2+3*(R0/AU88)^4)*COS(2*AT88)</f>
        <v>0.43961769731000178</v>
      </c>
      <c r="AX88" s="1">
        <f t="shared" ref="AX88:AX124" si="146">pv/2*(1+kh)*(1+(R0/AU88)^2)+pv/2*(1-kh)*(1+3*(R0/AU88)^4)*COS(2*AT88)</f>
        <v>1.3046191135126375</v>
      </c>
      <c r="AY88" s="1">
        <f t="shared" ref="AY88:AY124" si="147">pv/2*(1-kh)*(1+2*(R0/AU88)^2-3*(R0/AU88)^4)*SIN(2*AT88)</f>
        <v>-0.67394868545827513</v>
      </c>
      <c r="AZ88" s="1">
        <f t="shared" si="56"/>
        <v>0.7598845395251228</v>
      </c>
      <c r="BA88" s="1">
        <f t="shared" si="57"/>
        <v>0.98435227129751657</v>
      </c>
      <c r="BB88" s="1">
        <f t="shared" si="58"/>
        <v>0.79288539681805059</v>
      </c>
      <c r="BC88" s="1">
        <f t="shared" ref="BC88:BC124" si="148">v*(BA88+AZ88)</f>
        <v>0.52327104324679174</v>
      </c>
      <c r="BD88" s="1">
        <f t="shared" ref="BD88:BD124" si="149">AZ88*nxc+0*nyc+BB88*nzc</f>
        <v>0.20521384128018091</v>
      </c>
      <c r="BE88" s="1">
        <f t="shared" ref="BE88:BE124" si="150">0*nxc+BC88*nyc+0*nzc</f>
        <v>0.50544101482130011</v>
      </c>
      <c r="BF88" s="1">
        <f t="shared" ref="BF88:BF124" si="151">BB88*nxc+0*nyc+BA88*nzc</f>
        <v>0.25476911490172049</v>
      </c>
      <c r="BG88" s="1">
        <f t="shared" ref="BG88:BG119" si="152">(BD88*nxc+BE88*nyc+BF88*nzc)*AV88*1000</f>
        <v>103.95452779971679</v>
      </c>
      <c r="BH88" s="1">
        <f t="shared" ref="BH88:BH124" si="153">(BD88*mxc+BE88*myc+BF88*mzc)*AV88*1000</f>
        <v>-21.623577317051655</v>
      </c>
      <c r="BI88" s="1">
        <f t="shared" ref="BI88:BI124" si="154">(BD88*kxc+BE88*kyc+BF88*kzc)*AV88*1000</f>
        <v>-38.496100847228519</v>
      </c>
      <c r="BJ88" s="1">
        <f t="shared" si="59"/>
        <v>0.18759017718824</v>
      </c>
      <c r="BK88" s="1">
        <f t="shared" ref="BK88:BK124" si="155">IF(-BG88&gt;=σt1*AV88,0,BG88)</f>
        <v>103.95452779971679</v>
      </c>
      <c r="BL88" s="1">
        <f t="shared" ref="BL88:BL124" si="156">IF(-BG88&gt;=σt1*AV88,0,SIGN(BH88)*IF(BG88&lt;0,MIN(ABS(BH88),c_1*AV88),MIN(ABS(BH88),c_1*AV88+BG88*TAN(φ1))))</f>
        <v>-21.623577317051655</v>
      </c>
      <c r="BM88" s="1">
        <f t="shared" ref="BM88:BM124" si="157">IF(-BG88&gt;=σt1*AV88,0,SIGN(BI88)*IF(BG88&lt;0,MIN(ABS(BI88),c_1*AV88),MIN(ABS(BI88),c_1*AV88+BG88*TAN(φ1))))</f>
        <v>-38.496100847228519</v>
      </c>
    </row>
    <row r="89" spans="4:65" x14ac:dyDescent="0.25">
      <c r="D89" s="1">
        <v>1.44049356426616</v>
      </c>
      <c r="E89" s="14">
        <v>6.6600414649474304</v>
      </c>
      <c r="F89" s="1">
        <v>0.23932664321976299</v>
      </c>
      <c r="G89" s="1">
        <f t="shared" si="119"/>
        <v>1.073989585379594</v>
      </c>
      <c r="H89" s="1">
        <f t="shared" si="120"/>
        <v>1.1185417598937559</v>
      </c>
      <c r="I89" s="1">
        <f t="shared" si="121"/>
        <v>0.32411100760289097</v>
      </c>
      <c r="J89" s="1">
        <f t="shared" ref="J89:J121" si="158">G89*COS(D89)^2+H89*SIN(D89)^2-I89*SIN(2*D89)</f>
        <v>1.0342773059328025</v>
      </c>
      <c r="K89" s="1">
        <f t="shared" ref="K89:K121" si="159">G89*SIN(D89)^2+H89*COS(D89)^2+I89*SIN(2*D89)</f>
        <v>1.1582540393405476</v>
      </c>
      <c r="L89" s="1">
        <f t="shared" ref="L89:L121" si="160">0.5*(G89-H89)*SIN(2*D89)+I89*COS(2*D89)</f>
        <v>-0.31890690131483912</v>
      </c>
      <c r="M89" s="1">
        <f t="shared" si="122"/>
        <v>0.65775940358200502</v>
      </c>
      <c r="N89" s="1">
        <f t="shared" si="123"/>
        <v>0.78265064932389539</v>
      </c>
      <c r="O89" s="1">
        <f t="shared" si="124"/>
        <v>-0.31767339770217634</v>
      </c>
      <c r="P89" s="1">
        <f t="shared" si="125"/>
        <v>3.3007382123890927E-2</v>
      </c>
      <c r="Q89" s="16">
        <f t="shared" si="126"/>
        <v>195.45027632309805</v>
      </c>
      <c r="R89" s="1">
        <f t="shared" si="127"/>
        <v>44.192531927405554</v>
      </c>
      <c r="S89" s="1">
        <f t="shared" si="128"/>
        <v>27.812649914691363</v>
      </c>
      <c r="T89" s="1">
        <f t="shared" ref="T89:T121" si="161">IF(AND(Q89=U89,R89=V89),F89,0)</f>
        <v>0.23932664321976299</v>
      </c>
      <c r="U89" s="1">
        <f t="shared" si="129"/>
        <v>195.45027632309805</v>
      </c>
      <c r="V89" s="1">
        <f t="shared" si="130"/>
        <v>44.192531927405554</v>
      </c>
      <c r="W89" s="1">
        <f t="shared" si="131"/>
        <v>27.812649914691363</v>
      </c>
      <c r="Y89" s="1">
        <v>1.63206567586115</v>
      </c>
      <c r="Z89" s="1">
        <v>5.8684454820287897</v>
      </c>
      <c r="AA89" s="1">
        <v>0.14559786972802199</v>
      </c>
      <c r="AB89" s="1">
        <f t="shared" si="132"/>
        <v>0.7418933562208645</v>
      </c>
      <c r="AC89" s="1">
        <f t="shared" si="133"/>
        <v>1.0251089358809116</v>
      </c>
      <c r="AD89" s="1">
        <f t="shared" si="134"/>
        <v>-0.14804216036445805</v>
      </c>
      <c r="AE89" s="1">
        <f t="shared" ref="AE89:AE123" si="162">AB89*COS(Y89)^2+AC89*SIN(Y89)^2-AD89*SIN(2*Y89)</f>
        <v>1.0059515653535718</v>
      </c>
      <c r="AF89" s="1">
        <f t="shared" ref="AF89:AF123" si="163">AB89*SIN(Y89)^2+AC89*COS(Y89)^2+AD89*SIN(2*Y89)</f>
        <v>0.7610507267482044</v>
      </c>
      <c r="AG89" s="1">
        <f t="shared" ref="AG89:AG123" si="164">0.5*(AB89-AC89)*SIN(2*Y89)+AD89*COS(2*Y89)</f>
        <v>0.16424110995276728</v>
      </c>
      <c r="AH89" s="1">
        <f t="shared" si="135"/>
        <v>0.53010068763053286</v>
      </c>
      <c r="AI89" s="1">
        <f t="shared" si="136"/>
        <v>-0.79898615794427807</v>
      </c>
      <c r="AJ89" s="1">
        <f t="shared" si="137"/>
        <v>-0.25601897235796311</v>
      </c>
      <c r="AK89" s="1">
        <f t="shared" si="138"/>
        <v>5.9584056152065967E-2</v>
      </c>
      <c r="AL89" s="1">
        <f t="shared" si="139"/>
        <v>117.56068560581242</v>
      </c>
      <c r="AM89" s="1">
        <f t="shared" si="140"/>
        <v>22.5189472655107</v>
      </c>
      <c r="AN89" s="1">
        <f t="shared" si="141"/>
        <v>-25.883536813362802</v>
      </c>
      <c r="AO89" s="1">
        <f t="shared" ref="AO89:AO123" si="165">IF(AND(AL89=AP89,AM89=AQ89),AA89,0)</f>
        <v>0.14559786972802199</v>
      </c>
      <c r="AP89" s="1">
        <f t="shared" si="142"/>
        <v>117.56068560581242</v>
      </c>
      <c r="AQ89" s="1">
        <f t="shared" si="143"/>
        <v>22.5189472655107</v>
      </c>
      <c r="AR89" s="1">
        <f t="shared" si="144"/>
        <v>-25.883536813362802</v>
      </c>
      <c r="AT89" s="1">
        <v>1.5529034511873001</v>
      </c>
      <c r="AU89" s="1">
        <v>7.11471081356654</v>
      </c>
      <c r="AV89" s="1">
        <v>0.23080800271074101</v>
      </c>
      <c r="AW89" s="1">
        <f t="shared" si="145"/>
        <v>1.2336878567171816</v>
      </c>
      <c r="AX89" s="1">
        <f t="shared" si="146"/>
        <v>1.0822714295870925</v>
      </c>
      <c r="AY89" s="1">
        <f t="shared" si="147"/>
        <v>4.5050251114936497E-2</v>
      </c>
      <c r="AZ89" s="1">
        <f t="shared" ref="AZ89:AZ124" si="166">AW89*COS(AT89)^2+AX89*SIN(AT89)^2-AY89*SIN(2*AT89)</f>
        <v>1.0807080881326259</v>
      </c>
      <c r="BA89" s="1">
        <f t="shared" ref="BA89:BA124" si="167">AW89*SIN(AT89)^2+AX89*COS(AT89)^2+AY89*SIN(2*AT89)</f>
        <v>1.2352511981716481</v>
      </c>
      <c r="BB89" s="1">
        <f t="shared" ref="BB89:BB124" si="168">0.5*(AW89-AX89)*SIN(2*AT89)+AY89*COS(2*AT89)</f>
        <v>-4.2312710993221543E-2</v>
      </c>
      <c r="BC89" s="1">
        <f t="shared" si="148"/>
        <v>0.69478778589128221</v>
      </c>
      <c r="BD89" s="1">
        <f t="shared" si="149"/>
        <v>-1.0951335454964786E-2</v>
      </c>
      <c r="BE89" s="1">
        <f t="shared" si="150"/>
        <v>0.67111346618258905</v>
      </c>
      <c r="BF89" s="1">
        <f t="shared" si="151"/>
        <v>0.31970653557253059</v>
      </c>
      <c r="BG89" s="1">
        <f t="shared" si="152"/>
        <v>168.71879650236437</v>
      </c>
      <c r="BH89" s="1">
        <f t="shared" si="153"/>
        <v>-31.185820181665754</v>
      </c>
      <c r="BI89" s="1">
        <f t="shared" si="154"/>
        <v>2.5276558633757085</v>
      </c>
      <c r="BJ89" s="1">
        <f t="shared" ref="BJ89:BJ124" si="169">IF(AND(BG89=BK89,BH89=BL89),AV89,0)</f>
        <v>0.23080800271074101</v>
      </c>
      <c r="BK89" s="1">
        <f t="shared" si="155"/>
        <v>168.71879650236437</v>
      </c>
      <c r="BL89" s="1">
        <f t="shared" si="156"/>
        <v>-31.185820181665754</v>
      </c>
      <c r="BM89" s="1">
        <f t="shared" si="157"/>
        <v>2.5276558633757085</v>
      </c>
    </row>
    <row r="90" spans="4:65" x14ac:dyDescent="0.25">
      <c r="D90" s="1">
        <v>1.1619561928895299</v>
      </c>
      <c r="E90" s="14">
        <v>4.6083025143190097</v>
      </c>
      <c r="F90" s="1">
        <v>0.210255241182841</v>
      </c>
      <c r="G90" s="1">
        <f t="shared" si="119"/>
        <v>0.23190481836133961</v>
      </c>
      <c r="H90" s="1">
        <f t="shared" si="120"/>
        <v>1.3303496143996216</v>
      </c>
      <c r="I90" s="1">
        <f t="shared" si="121"/>
        <v>0.55424477409666162</v>
      </c>
      <c r="J90" s="1">
        <f t="shared" si="158"/>
        <v>0.75239335610162128</v>
      </c>
      <c r="K90" s="1">
        <f t="shared" si="159"/>
        <v>0.80986107665933982</v>
      </c>
      <c r="L90" s="1">
        <f t="shared" si="160"/>
        <v>-0.77974795759452298</v>
      </c>
      <c r="M90" s="1">
        <f t="shared" si="122"/>
        <v>0.46867632982828833</v>
      </c>
      <c r="N90" s="1">
        <f t="shared" si="123"/>
        <v>0.4275756873977572</v>
      </c>
      <c r="O90" s="1">
        <f t="shared" si="124"/>
        <v>-0.22635328557575857</v>
      </c>
      <c r="P90" s="1">
        <f t="shared" si="125"/>
        <v>-0.44266440880740571</v>
      </c>
      <c r="Q90" s="16">
        <f t="shared" si="126"/>
        <v>74.099055396902003</v>
      </c>
      <c r="R90" s="1">
        <f t="shared" si="127"/>
        <v>116.21053681620165</v>
      </c>
      <c r="S90" s="1">
        <f t="shared" si="128"/>
        <v>3.7341642348653847</v>
      </c>
      <c r="T90" s="1">
        <f t="shared" si="161"/>
        <v>0</v>
      </c>
      <c r="U90" s="1">
        <f t="shared" si="129"/>
        <v>74.099055396902003</v>
      </c>
      <c r="V90" s="1">
        <f t="shared" si="130"/>
        <v>42.781109580098359</v>
      </c>
      <c r="W90" s="1">
        <f t="shared" si="131"/>
        <v>3.7341642348653847</v>
      </c>
      <c r="Y90" s="1">
        <v>1.9051708490925701</v>
      </c>
      <c r="Z90" s="1">
        <v>4.70142520810984</v>
      </c>
      <c r="AA90" s="1">
        <v>0.223095469727358</v>
      </c>
      <c r="AB90" s="1">
        <f t="shared" si="132"/>
        <v>0.24473748112574167</v>
      </c>
      <c r="AC90" s="1">
        <f t="shared" si="133"/>
        <v>1.1184216778827303</v>
      </c>
      <c r="AD90" s="1">
        <f t="shared" si="134"/>
        <v>-0.51312088720878923</v>
      </c>
      <c r="AE90" s="1">
        <f t="shared" si="162"/>
        <v>0.70618745990223264</v>
      </c>
      <c r="AF90" s="1">
        <f t="shared" si="163"/>
        <v>0.65697169910623932</v>
      </c>
      <c r="AG90" s="1">
        <f t="shared" si="164"/>
        <v>0.67343783382579492</v>
      </c>
      <c r="AH90" s="1">
        <f t="shared" si="135"/>
        <v>0.40894774770254155</v>
      </c>
      <c r="AI90" s="1">
        <f t="shared" si="136"/>
        <v>-0.41643878661670464</v>
      </c>
      <c r="AJ90" s="1">
        <f t="shared" si="137"/>
        <v>-0.19750659555431563</v>
      </c>
      <c r="AK90" s="1">
        <f t="shared" si="138"/>
        <v>-0.39330493972709246</v>
      </c>
      <c r="AL90" s="1">
        <f t="shared" si="139"/>
        <v>76.287805158007828</v>
      </c>
      <c r="AM90" s="1">
        <f t="shared" si="140"/>
        <v>111.28109864442204</v>
      </c>
      <c r="AN90" s="1">
        <f t="shared" si="141"/>
        <v>-8.2932760635447149</v>
      </c>
      <c r="AO90" s="1">
        <f t="shared" si="165"/>
        <v>0</v>
      </c>
      <c r="AP90" s="1">
        <f t="shared" si="142"/>
        <v>76.287805158007828</v>
      </c>
      <c r="AQ90" s="1">
        <f t="shared" si="143"/>
        <v>44.044784843861535</v>
      </c>
      <c r="AR90" s="1">
        <f t="shared" si="144"/>
        <v>-8.2932760635447149</v>
      </c>
      <c r="AT90" s="1">
        <v>1.5371568349358899</v>
      </c>
      <c r="AU90" s="1">
        <v>6.7825255185051301</v>
      </c>
      <c r="AV90" s="1">
        <v>9.8929965986919999E-2</v>
      </c>
      <c r="AW90" s="1">
        <f t="shared" si="145"/>
        <v>1.117901369602105</v>
      </c>
      <c r="AX90" s="1">
        <f t="shared" si="146"/>
        <v>1.0803661918615408</v>
      </c>
      <c r="AY90" s="1">
        <f t="shared" si="147"/>
        <v>8.4667660228037553E-2</v>
      </c>
      <c r="AZ90" s="1">
        <f t="shared" si="166"/>
        <v>1.0747165935093388</v>
      </c>
      <c r="BA90" s="1">
        <f t="shared" si="167"/>
        <v>1.1235509679543072</v>
      </c>
      <c r="BB90" s="1">
        <f t="shared" si="168"/>
        <v>-8.3214398084925811E-2</v>
      </c>
      <c r="BC90" s="1">
        <f t="shared" si="148"/>
        <v>0.65948026843909369</v>
      </c>
      <c r="BD90" s="1">
        <f t="shared" si="149"/>
        <v>-2.1537471051121783E-2</v>
      </c>
      <c r="BE90" s="1">
        <f t="shared" si="150"/>
        <v>0.63700902321336816</v>
      </c>
      <c r="BF90" s="1">
        <f t="shared" si="151"/>
        <v>0.29079638864994667</v>
      </c>
      <c r="BG90" s="1">
        <f t="shared" si="152"/>
        <v>68.317780776264442</v>
      </c>
      <c r="BH90" s="1">
        <f t="shared" si="153"/>
        <v>-11.477624629641562</v>
      </c>
      <c r="BI90" s="1">
        <f t="shared" si="154"/>
        <v>2.130701278531737</v>
      </c>
      <c r="BJ90" s="1">
        <f t="shared" si="169"/>
        <v>9.8929965986919999E-2</v>
      </c>
      <c r="BK90" s="1">
        <f t="shared" si="155"/>
        <v>68.317780776264442</v>
      </c>
      <c r="BL90" s="1">
        <f t="shared" si="156"/>
        <v>-11.477624629641562</v>
      </c>
      <c r="BM90" s="1">
        <f t="shared" si="157"/>
        <v>2.130701278531737</v>
      </c>
    </row>
    <row r="91" spans="4:65" x14ac:dyDescent="0.25">
      <c r="D91" s="1">
        <v>1.26685990361463</v>
      </c>
      <c r="E91" s="14">
        <v>4.8689408212758503</v>
      </c>
      <c r="F91" s="1">
        <v>0.24363537888643899</v>
      </c>
      <c r="G91" s="1">
        <f t="shared" si="119"/>
        <v>0.31210501403322027</v>
      </c>
      <c r="H91" s="1">
        <f t="shared" si="120"/>
        <v>1.1037131356894709</v>
      </c>
      <c r="I91" s="1">
        <f t="shared" si="121"/>
        <v>0.53069403033716323</v>
      </c>
      <c r="J91" s="1">
        <f t="shared" si="158"/>
        <v>0.72971929227384991</v>
      </c>
      <c r="K91" s="1">
        <f t="shared" si="159"/>
        <v>0.68609885744884136</v>
      </c>
      <c r="L91" s="1">
        <f t="shared" si="160"/>
        <v>-0.66168068040404171</v>
      </c>
      <c r="M91" s="1">
        <f t="shared" si="122"/>
        <v>0.42474544491680738</v>
      </c>
      <c r="N91" s="1">
        <f t="shared" si="123"/>
        <v>0.43916652327412986</v>
      </c>
      <c r="O91" s="1">
        <f t="shared" si="124"/>
        <v>-0.20513629742189246</v>
      </c>
      <c r="P91" s="1">
        <f t="shared" si="125"/>
        <v>-0.37593122589546712</v>
      </c>
      <c r="Q91" s="16">
        <f t="shared" si="126"/>
        <v>89.93678672859788</v>
      </c>
      <c r="R91" s="1">
        <f t="shared" si="127"/>
        <v>118.91958656729662</v>
      </c>
      <c r="S91" s="1">
        <f t="shared" si="128"/>
        <v>10.215635537439164</v>
      </c>
      <c r="T91" s="1">
        <f t="shared" si="161"/>
        <v>0</v>
      </c>
      <c r="U91" s="1">
        <f t="shared" si="129"/>
        <v>89.93678672859788</v>
      </c>
      <c r="V91" s="1">
        <f t="shared" si="130"/>
        <v>51.925028027805944</v>
      </c>
      <c r="W91" s="1">
        <f t="shared" si="131"/>
        <v>10.215635537439164</v>
      </c>
      <c r="Y91" s="1">
        <v>1.9441228961107899</v>
      </c>
      <c r="Z91" s="1">
        <v>4.6972484006797197</v>
      </c>
      <c r="AA91" s="1">
        <v>0.170084146245674</v>
      </c>
      <c r="AB91" s="1">
        <f t="shared" si="132"/>
        <v>0.25826654933004056</v>
      </c>
      <c r="AC91" s="1">
        <f t="shared" si="133"/>
        <v>1.2398596294468749</v>
      </c>
      <c r="AD91" s="1">
        <f t="shared" si="134"/>
        <v>-0.56015948208791122</v>
      </c>
      <c r="AE91" s="1">
        <f t="shared" si="162"/>
        <v>0.72883859414615926</v>
      </c>
      <c r="AF91" s="1">
        <f t="shared" si="163"/>
        <v>0.76928758463075608</v>
      </c>
      <c r="AG91" s="1">
        <f t="shared" si="164"/>
        <v>0.74448026091932396</v>
      </c>
      <c r="AH91" s="1">
        <f t="shared" si="135"/>
        <v>0.44943785363307459</v>
      </c>
      <c r="AI91" s="1">
        <f t="shared" si="136"/>
        <v>-0.41699969656779035</v>
      </c>
      <c r="AJ91" s="1">
        <f t="shared" si="137"/>
        <v>-0.21706181506805666</v>
      </c>
      <c r="AK91" s="1">
        <f t="shared" si="138"/>
        <v>-0.42366359800663456</v>
      </c>
      <c r="AL91" s="1">
        <f t="shared" si="139"/>
        <v>58.510246344916297</v>
      </c>
      <c r="AM91" s="1">
        <f t="shared" si="140"/>
        <v>90.27818190248577</v>
      </c>
      <c r="AN91" s="1">
        <f t="shared" si="141"/>
        <v>-3.4899229615522538</v>
      </c>
      <c r="AO91" s="1">
        <f t="shared" si="165"/>
        <v>0</v>
      </c>
      <c r="AP91" s="1">
        <f t="shared" si="142"/>
        <v>58.510246344916297</v>
      </c>
      <c r="AQ91" s="1">
        <f t="shared" si="143"/>
        <v>33.780906477588736</v>
      </c>
      <c r="AR91" s="1">
        <f t="shared" si="144"/>
        <v>-3.4899229615522538</v>
      </c>
      <c r="AT91" s="1">
        <v>1.6094824705143</v>
      </c>
      <c r="AU91" s="1">
        <v>6.4737227328331599</v>
      </c>
      <c r="AV91" s="1">
        <v>0.22402341146385599</v>
      </c>
      <c r="AW91" s="1">
        <f t="shared" si="145"/>
        <v>1.0003239843367406</v>
      </c>
      <c r="AX91" s="1">
        <f t="shared" si="146"/>
        <v>1.0708696579362385</v>
      </c>
      <c r="AY91" s="1">
        <f t="shared" si="147"/>
        <v>-9.6877548399772237E-2</v>
      </c>
      <c r="AZ91" s="1">
        <f t="shared" si="166"/>
        <v>1.063275969668301</v>
      </c>
      <c r="BA91" s="1">
        <f t="shared" si="167"/>
        <v>1.0079176726046781</v>
      </c>
      <c r="BB91" s="1">
        <f t="shared" si="168"/>
        <v>9.9314133618563408E-2</v>
      </c>
      <c r="BC91" s="1">
        <f t="shared" si="148"/>
        <v>0.62135809268189368</v>
      </c>
      <c r="BD91" s="1">
        <f t="shared" si="149"/>
        <v>2.570438922834048E-2</v>
      </c>
      <c r="BE91" s="1">
        <f t="shared" si="150"/>
        <v>0.60018582909515761</v>
      </c>
      <c r="BF91" s="1">
        <f t="shared" si="151"/>
        <v>0.2608682895654979</v>
      </c>
      <c r="BG91" s="1">
        <f t="shared" si="152"/>
        <v>144.99975222028104</v>
      </c>
      <c r="BH91" s="1">
        <f t="shared" si="153"/>
        <v>-21.649598957084311</v>
      </c>
      <c r="BI91" s="1">
        <f t="shared" si="154"/>
        <v>-5.758384964527659</v>
      </c>
      <c r="BJ91" s="1">
        <f t="shared" si="169"/>
        <v>0.22402341146385599</v>
      </c>
      <c r="BK91" s="1">
        <f t="shared" si="155"/>
        <v>144.99975222028104</v>
      </c>
      <c r="BL91" s="1">
        <f t="shared" si="156"/>
        <v>-21.649598957084311</v>
      </c>
      <c r="BM91" s="1">
        <f t="shared" si="157"/>
        <v>-5.758384964527659</v>
      </c>
    </row>
    <row r="92" spans="4:65" x14ac:dyDescent="0.25">
      <c r="D92" s="1">
        <v>1.47155004436674</v>
      </c>
      <c r="E92" s="14">
        <v>4.5718305359538496</v>
      </c>
      <c r="F92" s="1">
        <v>0.16658835410831799</v>
      </c>
      <c r="G92" s="1">
        <f t="shared" si="119"/>
        <v>0.12989276391381743</v>
      </c>
      <c r="H92" s="1">
        <f t="shared" si="120"/>
        <v>0.54336870079700361</v>
      </c>
      <c r="I92" s="1">
        <f t="shared" si="121"/>
        <v>0.14405569389431394</v>
      </c>
      <c r="J92" s="1">
        <f t="shared" si="158"/>
        <v>0.51090279959767904</v>
      </c>
      <c r="K92" s="1">
        <f t="shared" si="159"/>
        <v>0.16235866511314206</v>
      </c>
      <c r="L92" s="1">
        <f t="shared" si="160"/>
        <v>-0.18199416781269581</v>
      </c>
      <c r="M92" s="1">
        <f t="shared" si="122"/>
        <v>0.20197843941324631</v>
      </c>
      <c r="N92" s="1">
        <f t="shared" si="123"/>
        <v>0.38027496476123868</v>
      </c>
      <c r="O92" s="1">
        <f t="shared" si="124"/>
        <v>-9.7548095491408179E-2</v>
      </c>
      <c r="P92" s="1">
        <f t="shared" si="125"/>
        <v>-0.11021957389181125</v>
      </c>
      <c r="Q92" s="16">
        <f t="shared" si="126"/>
        <v>56.088865407123706</v>
      </c>
      <c r="R92" s="1">
        <f t="shared" si="127"/>
        <v>34.037980035201215</v>
      </c>
      <c r="S92" s="1">
        <f t="shared" si="128"/>
        <v>17.601451223064039</v>
      </c>
      <c r="T92" s="1">
        <f t="shared" si="161"/>
        <v>0</v>
      </c>
      <c r="U92" s="1">
        <f t="shared" si="129"/>
        <v>56.088865407123706</v>
      </c>
      <c r="V92" s="1">
        <f t="shared" si="130"/>
        <v>32.382921541343556</v>
      </c>
      <c r="W92" s="1">
        <f t="shared" si="131"/>
        <v>17.601451223064039</v>
      </c>
      <c r="Y92" s="1">
        <v>1.74358763891169</v>
      </c>
      <c r="Z92" s="1">
        <v>4.7610534455690496</v>
      </c>
      <c r="AA92" s="1">
        <v>0.18401320650977801</v>
      </c>
      <c r="AB92" s="1">
        <f t="shared" si="132"/>
        <v>0.2239482903359199</v>
      </c>
      <c r="AC92" s="1">
        <f t="shared" si="133"/>
        <v>0.77567383330767603</v>
      </c>
      <c r="AD92" s="1">
        <f t="shared" si="134"/>
        <v>-0.29355154881869722</v>
      </c>
      <c r="AE92" s="1">
        <f t="shared" si="162"/>
        <v>0.65992524994127666</v>
      </c>
      <c r="AF92" s="1">
        <f t="shared" si="163"/>
        <v>0.33969687370231921</v>
      </c>
      <c r="AG92" s="1">
        <f t="shared" si="164"/>
        <v>0.36964337849955586</v>
      </c>
      <c r="AH92" s="1">
        <f t="shared" si="135"/>
        <v>0.29988663709307872</v>
      </c>
      <c r="AI92" s="1">
        <f t="shared" si="136"/>
        <v>-0.45636748457240095</v>
      </c>
      <c r="AJ92" s="1">
        <f t="shared" si="137"/>
        <v>-0.14483412386359115</v>
      </c>
      <c r="AK92" s="1">
        <f t="shared" si="138"/>
        <v>-0.22129269220765799</v>
      </c>
      <c r="AL92" s="1">
        <f t="shared" si="139"/>
        <v>72.580989363849781</v>
      </c>
      <c r="AM92" s="1">
        <f t="shared" si="140"/>
        <v>61.605268862800024</v>
      </c>
      <c r="AN92" s="1">
        <f t="shared" si="141"/>
        <v>-18.908039968024362</v>
      </c>
      <c r="AO92" s="1">
        <f t="shared" si="165"/>
        <v>0</v>
      </c>
      <c r="AP92" s="1">
        <f t="shared" si="142"/>
        <v>72.580989363849781</v>
      </c>
      <c r="AQ92" s="1">
        <f t="shared" si="143"/>
        <v>41.904653747268036</v>
      </c>
      <c r="AR92" s="1">
        <f t="shared" si="144"/>
        <v>-18.908039968024362</v>
      </c>
      <c r="AT92" s="1">
        <v>1.7262711726656399</v>
      </c>
      <c r="AU92" s="1">
        <v>6.2660657298678801</v>
      </c>
      <c r="AV92" s="1">
        <v>0.27479888504025601</v>
      </c>
      <c r="AW92" s="1">
        <f t="shared" si="145"/>
        <v>0.92122409308879338</v>
      </c>
      <c r="AX92" s="1">
        <f t="shared" si="146"/>
        <v>1.1222874469116872</v>
      </c>
      <c r="AY92" s="1">
        <f t="shared" si="147"/>
        <v>-0.38074165351732775</v>
      </c>
      <c r="AZ92" s="1">
        <f t="shared" si="166"/>
        <v>1.0009734635277796</v>
      </c>
      <c r="BA92" s="1">
        <f t="shared" si="167"/>
        <v>1.042538076472701</v>
      </c>
      <c r="BB92" s="1">
        <f t="shared" si="168"/>
        <v>0.39324155492956381</v>
      </c>
      <c r="BC92" s="1">
        <f t="shared" si="148"/>
        <v>0.6130534620001441</v>
      </c>
      <c r="BD92" s="1">
        <f t="shared" si="149"/>
        <v>0.10177840374149992</v>
      </c>
      <c r="BE92" s="1">
        <f t="shared" si="150"/>
        <v>0.5921641718418631</v>
      </c>
      <c r="BF92" s="1">
        <f t="shared" si="151"/>
        <v>0.2698287094356831</v>
      </c>
      <c r="BG92" s="1">
        <f t="shared" si="152"/>
        <v>176.37237557067482</v>
      </c>
      <c r="BH92" s="1">
        <f t="shared" si="153"/>
        <v>-29.505473299750687</v>
      </c>
      <c r="BI92" s="1">
        <f t="shared" si="154"/>
        <v>-27.968591869341239</v>
      </c>
      <c r="BJ92" s="1">
        <f t="shared" si="169"/>
        <v>0.27479888504025601</v>
      </c>
      <c r="BK92" s="1">
        <f t="shared" si="155"/>
        <v>176.37237557067482</v>
      </c>
      <c r="BL92" s="1">
        <f t="shared" si="156"/>
        <v>-29.505473299750687</v>
      </c>
      <c r="BM92" s="1">
        <f t="shared" si="157"/>
        <v>-27.968591869341239</v>
      </c>
    </row>
    <row r="93" spans="4:65" x14ac:dyDescent="0.25">
      <c r="D93" s="1">
        <v>1.4069576081608099</v>
      </c>
      <c r="E93" s="14">
        <v>4.6956698051341901</v>
      </c>
      <c r="F93" s="1">
        <v>0.204472086764133</v>
      </c>
      <c r="G93" s="1">
        <f t="shared" si="119"/>
        <v>0.19258848316397531</v>
      </c>
      <c r="H93" s="1">
        <f t="shared" si="120"/>
        <v>0.72041452834465369</v>
      </c>
      <c r="I93" s="1">
        <f t="shared" si="121"/>
        <v>0.26509305134669198</v>
      </c>
      <c r="J93" s="1">
        <f t="shared" si="158"/>
        <v>0.62105349996887149</v>
      </c>
      <c r="K93" s="1">
        <f t="shared" si="159"/>
        <v>0.29194951153975762</v>
      </c>
      <c r="L93" s="1">
        <f t="shared" si="160"/>
        <v>-0.33592715068163392</v>
      </c>
      <c r="M93" s="1">
        <f t="shared" si="122"/>
        <v>0.27390090345258872</v>
      </c>
      <c r="N93" s="1">
        <f t="shared" si="123"/>
        <v>0.43257703385395807</v>
      </c>
      <c r="O93" s="1">
        <f t="shared" si="124"/>
        <v>-0.13228397824438198</v>
      </c>
      <c r="P93" s="1">
        <f t="shared" si="125"/>
        <v>-0.20544644461850664</v>
      </c>
      <c r="Q93" s="16">
        <f t="shared" si="126"/>
        <v>76.180685608288783</v>
      </c>
      <c r="R93" s="1">
        <f t="shared" si="127"/>
        <v>63.902500454872822</v>
      </c>
      <c r="S93" s="1">
        <f t="shared" si="128"/>
        <v>20.80037925517669</v>
      </c>
      <c r="T93" s="1">
        <f t="shared" si="161"/>
        <v>0</v>
      </c>
      <c r="U93" s="1">
        <f t="shared" si="129"/>
        <v>76.180685608288783</v>
      </c>
      <c r="V93" s="1">
        <f t="shared" si="130"/>
        <v>43.982939342995778</v>
      </c>
      <c r="W93" s="1">
        <f t="shared" si="131"/>
        <v>20.80037925517669</v>
      </c>
      <c r="Y93" s="1">
        <v>1.6534912512440201</v>
      </c>
      <c r="Z93" s="1">
        <v>5.1168399350686604</v>
      </c>
      <c r="AA93" s="1">
        <v>0.208048949469684</v>
      </c>
      <c r="AB93" s="1">
        <f t="shared" si="132"/>
        <v>0.3804402335753842</v>
      </c>
      <c r="AC93" s="1">
        <f t="shared" si="133"/>
        <v>0.85110171032636917</v>
      </c>
      <c r="AD93" s="1">
        <f t="shared" si="134"/>
        <v>-0.17142955220953307</v>
      </c>
      <c r="AE93" s="1">
        <f t="shared" si="162"/>
        <v>0.81966681980143852</v>
      </c>
      <c r="AF93" s="1">
        <f t="shared" si="163"/>
        <v>0.4118751241003149</v>
      </c>
      <c r="AG93" s="1">
        <f t="shared" si="164"/>
        <v>0.20783438364336176</v>
      </c>
      <c r="AH93" s="1">
        <f t="shared" si="135"/>
        <v>0.36946258317052599</v>
      </c>
      <c r="AI93" s="1">
        <f t="shared" si="136"/>
        <v>-0.63187316168277718</v>
      </c>
      <c r="AJ93" s="1">
        <f t="shared" si="137"/>
        <v>-0.17843672546594214</v>
      </c>
      <c r="AK93" s="1">
        <f t="shared" si="138"/>
        <v>-6.7255724073844725E-2</v>
      </c>
      <c r="AL93" s="1">
        <f t="shared" si="139"/>
        <v>124.2766793469176</v>
      </c>
      <c r="AM93" s="1">
        <f t="shared" si="140"/>
        <v>47.785919953914046</v>
      </c>
      <c r="AN93" s="1">
        <f t="shared" si="141"/>
        <v>-33.580316203361946</v>
      </c>
      <c r="AO93" s="1">
        <f t="shared" si="165"/>
        <v>0.208048949469684</v>
      </c>
      <c r="AP93" s="1">
        <f t="shared" si="142"/>
        <v>124.2766793469176</v>
      </c>
      <c r="AQ93" s="1">
        <f t="shared" si="143"/>
        <v>47.785919953914046</v>
      </c>
      <c r="AR93" s="1">
        <f t="shared" si="144"/>
        <v>-33.580316203361946</v>
      </c>
      <c r="AT93" s="1">
        <v>1.31316603279035</v>
      </c>
      <c r="AU93" s="1">
        <v>4.65917864631471</v>
      </c>
      <c r="AV93" s="1">
        <v>0.18273224437405799</v>
      </c>
      <c r="AW93" s="1">
        <f t="shared" si="145"/>
        <v>0.19958583491336063</v>
      </c>
      <c r="AX93" s="1">
        <f t="shared" si="146"/>
        <v>0.88606962516115884</v>
      </c>
      <c r="AY93" s="1">
        <f t="shared" si="147"/>
        <v>0.39318174453934385</v>
      </c>
      <c r="AZ93" s="1">
        <f t="shared" si="166"/>
        <v>0.64775971511082686</v>
      </c>
      <c r="BA93" s="1">
        <f t="shared" si="167"/>
        <v>0.4378957449636926</v>
      </c>
      <c r="BB93" s="1">
        <f t="shared" si="168"/>
        <v>-0.5112691671866868</v>
      </c>
      <c r="BC93" s="1">
        <f t="shared" si="148"/>
        <v>0.32569663802235582</v>
      </c>
      <c r="BD93" s="1">
        <f t="shared" si="149"/>
        <v>-0.13232619764161949</v>
      </c>
      <c r="BE93" s="1">
        <f t="shared" si="150"/>
        <v>0.31459879420131565</v>
      </c>
      <c r="BF93" s="1">
        <f t="shared" si="151"/>
        <v>0.11333575856596</v>
      </c>
      <c r="BG93" s="1">
        <f t="shared" si="152"/>
        <v>60.888677671789864</v>
      </c>
      <c r="BH93" s="1">
        <f t="shared" si="153"/>
        <v>-5.1255986570388723</v>
      </c>
      <c r="BI93" s="1">
        <f t="shared" si="154"/>
        <v>24.180263084538293</v>
      </c>
      <c r="BJ93" s="1">
        <f t="shared" si="169"/>
        <v>0.18273224437405799</v>
      </c>
      <c r="BK93" s="1">
        <f t="shared" si="155"/>
        <v>60.888677671789864</v>
      </c>
      <c r="BL93" s="1">
        <f t="shared" si="156"/>
        <v>-5.1255986570388723</v>
      </c>
      <c r="BM93" s="1">
        <f t="shared" si="157"/>
        <v>24.180263084538293</v>
      </c>
    </row>
    <row r="94" spans="4:65" x14ac:dyDescent="0.25">
      <c r="D94" s="1">
        <v>1.45769550964109</v>
      </c>
      <c r="E94" s="14">
        <v>5.8663221422473599</v>
      </c>
      <c r="F94" s="1">
        <v>0.105427027726478</v>
      </c>
      <c r="G94" s="1">
        <f t="shared" si="119"/>
        <v>0.74450925889656672</v>
      </c>
      <c r="H94" s="1">
        <f t="shared" si="120"/>
        <v>1.0528231100071821</v>
      </c>
      <c r="I94" s="1">
        <f t="shared" si="121"/>
        <v>0.27157855463636638</v>
      </c>
      <c r="J94" s="1">
        <f t="shared" si="158"/>
        <v>0.98798703828633694</v>
      </c>
      <c r="K94" s="1">
        <f t="shared" si="159"/>
        <v>0.80934533061741187</v>
      </c>
      <c r="L94" s="1">
        <f t="shared" si="160"/>
        <v>-0.29923411253619647</v>
      </c>
      <c r="M94" s="1">
        <f t="shared" si="122"/>
        <v>0.5391997106711246</v>
      </c>
      <c r="N94" s="1">
        <f t="shared" si="123"/>
        <v>0.7490197781394321</v>
      </c>
      <c r="O94" s="1">
        <f t="shared" si="124"/>
        <v>-0.26041346303241619</v>
      </c>
      <c r="P94" s="1">
        <f t="shared" si="125"/>
        <v>-4.0840228142459856E-2</v>
      </c>
      <c r="Q94" s="16">
        <f t="shared" si="126"/>
        <v>78.202297678382948</v>
      </c>
      <c r="R94" s="1">
        <f t="shared" si="127"/>
        <v>25.411793749189194</v>
      </c>
      <c r="S94" s="1">
        <f t="shared" si="128"/>
        <v>15.70706835006502</v>
      </c>
      <c r="T94" s="1">
        <f t="shared" si="161"/>
        <v>0.105427027726478</v>
      </c>
      <c r="U94" s="1">
        <f t="shared" si="129"/>
        <v>78.202297678382948</v>
      </c>
      <c r="V94" s="1">
        <f t="shared" si="130"/>
        <v>25.411793749189194</v>
      </c>
      <c r="W94" s="1">
        <f t="shared" si="131"/>
        <v>15.70706835006502</v>
      </c>
      <c r="Y94" s="1">
        <v>1.8924004932273899</v>
      </c>
      <c r="Z94" s="1">
        <v>4.3208138530382101</v>
      </c>
      <c r="AA94" s="1">
        <v>0.20223695168177899</v>
      </c>
      <c r="AB94" s="1">
        <f t="shared" si="132"/>
        <v>8.1075890051381716E-2</v>
      </c>
      <c r="AC94" s="1">
        <f t="shared" si="133"/>
        <v>0.83673912729738875</v>
      </c>
      <c r="AD94" s="1">
        <f t="shared" si="134"/>
        <v>-0.28939893123689586</v>
      </c>
      <c r="AE94" s="1">
        <f t="shared" si="162"/>
        <v>0.58766759455029405</v>
      </c>
      <c r="AF94" s="1">
        <f t="shared" si="163"/>
        <v>0.33014742279847648</v>
      </c>
      <c r="AG94" s="1">
        <f t="shared" si="164"/>
        <v>0.45818043794728402</v>
      </c>
      <c r="AH94" s="1">
        <f t="shared" si="135"/>
        <v>0.27534450520463111</v>
      </c>
      <c r="AI94" s="1">
        <f t="shared" si="136"/>
        <v>-0.37300770058552973</v>
      </c>
      <c r="AJ94" s="1">
        <f t="shared" si="137"/>
        <v>-0.1329811843519691</v>
      </c>
      <c r="AK94" s="1">
        <f t="shared" si="138"/>
        <v>-0.2978269656848721</v>
      </c>
      <c r="AL94" s="1">
        <f t="shared" si="139"/>
        <v>60.502968410726425</v>
      </c>
      <c r="AM94" s="1">
        <f t="shared" si="140"/>
        <v>78.568080605355902</v>
      </c>
      <c r="AN94" s="1">
        <f t="shared" si="141"/>
        <v>-14.427334657239799</v>
      </c>
      <c r="AO94" s="1">
        <f t="shared" si="165"/>
        <v>0</v>
      </c>
      <c r="AP94" s="1">
        <f t="shared" si="142"/>
        <v>60.502968410726425</v>
      </c>
      <c r="AQ94" s="1">
        <f t="shared" si="143"/>
        <v>34.931405098704325</v>
      </c>
      <c r="AR94" s="1">
        <f t="shared" si="144"/>
        <v>-14.427334657239799</v>
      </c>
      <c r="AT94" s="1">
        <v>1.6235432528779501</v>
      </c>
      <c r="AU94" s="1">
        <v>5.8415892800373301</v>
      </c>
      <c r="AV94" s="1">
        <v>0.185982190191642</v>
      </c>
      <c r="AW94" s="1">
        <f t="shared" si="145"/>
        <v>0.72916586357618485</v>
      </c>
      <c r="AX94" s="1">
        <f t="shared" si="146"/>
        <v>1.0183361557941593</v>
      </c>
      <c r="AY94" s="1">
        <f t="shared" si="147"/>
        <v>-0.12719148241420469</v>
      </c>
      <c r="AZ94" s="1">
        <f t="shared" si="166"/>
        <v>1.0041393156331559</v>
      </c>
      <c r="BA94" s="1">
        <f t="shared" si="167"/>
        <v>0.74336270373718794</v>
      </c>
      <c r="BB94" s="1">
        <f t="shared" si="168"/>
        <v>0.14170895294968133</v>
      </c>
      <c r="BC94" s="1">
        <f t="shared" si="148"/>
        <v>0.52425060581110317</v>
      </c>
      <c r="BD94" s="1">
        <f t="shared" si="149"/>
        <v>3.6676975884914323E-2</v>
      </c>
      <c r="BE94" s="1">
        <f t="shared" si="150"/>
        <v>0.5063871996006345</v>
      </c>
      <c r="BF94" s="1">
        <f t="shared" si="151"/>
        <v>0.19239642514608699</v>
      </c>
      <c r="BG94" s="1">
        <f t="shared" si="152"/>
        <v>100.23107177117164</v>
      </c>
      <c r="BH94" s="1">
        <f t="shared" si="153"/>
        <v>-10.187736967444691</v>
      </c>
      <c r="BI94" s="1">
        <f t="shared" si="154"/>
        <v>-6.8212643046824253</v>
      </c>
      <c r="BJ94" s="1">
        <f t="shared" si="169"/>
        <v>0.185982190191642</v>
      </c>
      <c r="BK94" s="1">
        <f t="shared" si="155"/>
        <v>100.23107177117164</v>
      </c>
      <c r="BL94" s="1">
        <f t="shared" si="156"/>
        <v>-10.187736967444691</v>
      </c>
      <c r="BM94" s="1">
        <f t="shared" si="157"/>
        <v>-6.8212643046824253</v>
      </c>
    </row>
    <row r="95" spans="4:65" x14ac:dyDescent="0.25">
      <c r="D95" s="1">
        <v>1.4211463851842701</v>
      </c>
      <c r="E95" s="14">
        <v>6.2848386290835601</v>
      </c>
      <c r="F95" s="1">
        <v>0.19074755764273199</v>
      </c>
      <c r="G95" s="1">
        <f t="shared" si="119"/>
        <v>0.92848329532378537</v>
      </c>
      <c r="H95" s="1">
        <f t="shared" si="120"/>
        <v>1.118417327592335</v>
      </c>
      <c r="I95" s="1">
        <f t="shared" si="121"/>
        <v>0.36721075462133312</v>
      </c>
      <c r="J95" s="1">
        <f t="shared" si="158"/>
        <v>1.0059228298777727</v>
      </c>
      <c r="K95" s="1">
        <f t="shared" si="159"/>
        <v>1.0409777930383475</v>
      </c>
      <c r="L95" s="1">
        <f t="shared" si="160"/>
        <v>-0.37888686946431549</v>
      </c>
      <c r="M95" s="1">
        <f t="shared" si="122"/>
        <v>0.61407018687483605</v>
      </c>
      <c r="N95" s="1">
        <f t="shared" si="123"/>
        <v>0.7434077097381927</v>
      </c>
      <c r="O95" s="1">
        <f t="shared" si="124"/>
        <v>-0.29657312632827915</v>
      </c>
      <c r="P95" s="1">
        <f t="shared" si="125"/>
        <v>-4.7520165211964005E-2</v>
      </c>
      <c r="Q95" s="16">
        <f t="shared" si="126"/>
        <v>143.59616659045713</v>
      </c>
      <c r="R95" s="1">
        <f t="shared" si="127"/>
        <v>47.860588165338989</v>
      </c>
      <c r="S95" s="1">
        <f t="shared" si="128"/>
        <v>21.910026200049323</v>
      </c>
      <c r="T95" s="1">
        <f t="shared" si="161"/>
        <v>0.19074755764273199</v>
      </c>
      <c r="U95" s="1">
        <f t="shared" si="129"/>
        <v>143.59616659045713</v>
      </c>
      <c r="V95" s="1">
        <f t="shared" si="130"/>
        <v>47.860588165338989</v>
      </c>
      <c r="W95" s="1">
        <f t="shared" si="131"/>
        <v>21.910026200049323</v>
      </c>
      <c r="Y95" s="1">
        <v>1.7200874922200799</v>
      </c>
      <c r="Z95" s="1">
        <v>4.5978118532576397</v>
      </c>
      <c r="AA95" s="1">
        <v>0.15258881999236701</v>
      </c>
      <c r="AB95" s="1">
        <f t="shared" si="132"/>
        <v>0.14768540373070072</v>
      </c>
      <c r="AC95" s="1">
        <f t="shared" si="133"/>
        <v>0.62795433829356684</v>
      </c>
      <c r="AD95" s="1">
        <f t="shared" si="134"/>
        <v>-0.22105477075228364</v>
      </c>
      <c r="AE95" s="1">
        <f t="shared" si="162"/>
        <v>0.55230276341792861</v>
      </c>
      <c r="AF95" s="1">
        <f t="shared" si="163"/>
        <v>0.22333697860633886</v>
      </c>
      <c r="AG95" s="1">
        <f t="shared" si="164"/>
        <v>0.28191337704107977</v>
      </c>
      <c r="AH95" s="1">
        <f t="shared" si="135"/>
        <v>0.23269192260728022</v>
      </c>
      <c r="AI95" s="1">
        <f t="shared" si="136"/>
        <v>-0.38904571515114328</v>
      </c>
      <c r="AJ95" s="1">
        <f t="shared" si="137"/>
        <v>-0.11238156880761464</v>
      </c>
      <c r="AK95" s="1">
        <f t="shared" si="138"/>
        <v>-0.17802127259767223</v>
      </c>
      <c r="AL95" s="1">
        <f t="shared" si="139"/>
        <v>50.910331698966786</v>
      </c>
      <c r="AM95" s="1">
        <f t="shared" si="140"/>
        <v>41.76368232163297</v>
      </c>
      <c r="AN95" s="1">
        <f t="shared" si="141"/>
        <v>-14.831261607730756</v>
      </c>
      <c r="AO95" s="1">
        <f t="shared" si="165"/>
        <v>0</v>
      </c>
      <c r="AP95" s="1">
        <f t="shared" si="142"/>
        <v>50.910331698966786</v>
      </c>
      <c r="AQ95" s="1">
        <f t="shared" si="143"/>
        <v>29.393093710931609</v>
      </c>
      <c r="AR95" s="1">
        <f t="shared" si="144"/>
        <v>-14.831261607730756</v>
      </c>
      <c r="AT95" s="1">
        <v>1.6394802091440901</v>
      </c>
      <c r="AU95" s="1">
        <v>4.3430299470398097</v>
      </c>
      <c r="AV95" s="1">
        <v>0.14584622891310101</v>
      </c>
      <c r="AW95" s="1">
        <f t="shared" si="145"/>
        <v>4.6870054167405639E-2</v>
      </c>
      <c r="AX95" s="1">
        <f t="shared" si="146"/>
        <v>0.28687294574018862</v>
      </c>
      <c r="AY95" s="1">
        <f t="shared" si="147"/>
        <v>-6.960064209092709E-2</v>
      </c>
      <c r="AZ95" s="1">
        <f t="shared" si="166"/>
        <v>0.27621167304526795</v>
      </c>
      <c r="BA95" s="1">
        <f t="shared" si="167"/>
        <v>5.7531326862326267E-2</v>
      </c>
      <c r="BB95" s="1">
        <f t="shared" si="168"/>
        <v>8.5377531696698636E-2</v>
      </c>
      <c r="BC95" s="1">
        <f t="shared" si="148"/>
        <v>0.10012289997227826</v>
      </c>
      <c r="BD95" s="1">
        <f t="shared" si="149"/>
        <v>2.2097331226949672E-2</v>
      </c>
      <c r="BE95" s="1">
        <f t="shared" si="150"/>
        <v>9.6711294886180618E-2</v>
      </c>
      <c r="BF95" s="1">
        <f t="shared" si="151"/>
        <v>1.4890203081988265E-2</v>
      </c>
      <c r="BG95" s="1">
        <f t="shared" si="152"/>
        <v>14.186434329127888</v>
      </c>
      <c r="BH95" s="1">
        <f t="shared" si="153"/>
        <v>1.5529550803907868</v>
      </c>
      <c r="BI95" s="1">
        <f t="shared" si="154"/>
        <v>-3.2228124284943207</v>
      </c>
      <c r="BJ95" s="1">
        <f t="shared" si="169"/>
        <v>0.14584622891310101</v>
      </c>
      <c r="BK95" s="1">
        <f t="shared" si="155"/>
        <v>14.186434329127888</v>
      </c>
      <c r="BL95" s="1">
        <f t="shared" si="156"/>
        <v>1.5529550803907868</v>
      </c>
      <c r="BM95" s="1">
        <f t="shared" si="157"/>
        <v>-3.2228124284943207</v>
      </c>
    </row>
    <row r="96" spans="4:65" x14ac:dyDescent="0.25">
      <c r="D96" s="1">
        <v>1.5159457087039201</v>
      </c>
      <c r="E96" s="14">
        <v>7.7848752270004402</v>
      </c>
      <c r="F96" s="1">
        <v>0.185971057673566</v>
      </c>
      <c r="G96" s="1">
        <f t="shared" si="119"/>
        <v>1.4354473632612375</v>
      </c>
      <c r="H96" s="1">
        <f t="shared" si="120"/>
        <v>1.0826021763087201</v>
      </c>
      <c r="I96" s="1">
        <f t="shared" si="121"/>
        <v>0.1364547898551855</v>
      </c>
      <c r="J96" s="1">
        <f t="shared" si="158"/>
        <v>1.068723425792216</v>
      </c>
      <c r="K96" s="1">
        <f t="shared" si="159"/>
        <v>1.4493261137777416</v>
      </c>
      <c r="L96" s="1">
        <f t="shared" si="160"/>
        <v>-0.11631955827744617</v>
      </c>
      <c r="M96" s="1">
        <f t="shared" si="122"/>
        <v>0.75541486187098728</v>
      </c>
      <c r="N96" s="1">
        <f t="shared" si="123"/>
        <v>0.8638988528615964</v>
      </c>
      <c r="O96" s="1">
        <f t="shared" si="124"/>
        <v>-0.36483736232188774</v>
      </c>
      <c r="P96" s="1">
        <f t="shared" si="125"/>
        <v>0.2778099938674386</v>
      </c>
      <c r="Q96" s="16">
        <f t="shared" si="126"/>
        <v>180.53529249396712</v>
      </c>
      <c r="R96" s="1">
        <f t="shared" si="127"/>
        <v>-5.1128629619471626</v>
      </c>
      <c r="S96" s="1">
        <f t="shared" si="128"/>
        <v>21.57096939886727</v>
      </c>
      <c r="T96" s="1">
        <f t="shared" si="161"/>
        <v>0.185971057673566</v>
      </c>
      <c r="U96" s="1">
        <f t="shared" si="129"/>
        <v>180.53529249396712</v>
      </c>
      <c r="V96" s="1">
        <f t="shared" si="130"/>
        <v>-5.1128629619471626</v>
      </c>
      <c r="W96" s="1">
        <f t="shared" si="131"/>
        <v>21.57096939886727</v>
      </c>
      <c r="Y96" s="1">
        <v>1.69106763783305</v>
      </c>
      <c r="Z96" s="1">
        <v>6.5832862883747501</v>
      </c>
      <c r="AA96" s="1">
        <v>0.239808670166205</v>
      </c>
      <c r="AB96" s="1">
        <f t="shared" si="132"/>
        <v>1.0448381255369481</v>
      </c>
      <c r="AC96" s="1">
        <f t="shared" si="133"/>
        <v>1.10985097845133</v>
      </c>
      <c r="AD96" s="1">
        <f t="shared" si="134"/>
        <v>-0.29930166998950491</v>
      </c>
      <c r="AE96" s="1">
        <f t="shared" si="162"/>
        <v>1.0376125456950098</v>
      </c>
      <c r="AF96" s="1">
        <f t="shared" si="163"/>
        <v>1.1170765582932682</v>
      </c>
      <c r="AG96" s="1">
        <f t="shared" si="164"/>
        <v>0.29842842541381548</v>
      </c>
      <c r="AH96" s="1">
        <f t="shared" si="135"/>
        <v>0.64640673119648329</v>
      </c>
      <c r="AI96" s="1">
        <f t="shared" si="136"/>
        <v>-0.79074085133971406</v>
      </c>
      <c r="AJ96" s="1">
        <f t="shared" si="137"/>
        <v>-0.31219047797488969</v>
      </c>
      <c r="AK96" s="1">
        <f t="shared" si="138"/>
        <v>3.9480444766415101E-2</v>
      </c>
      <c r="AL96" s="1">
        <f t="shared" si="139"/>
        <v>197.23359711324329</v>
      </c>
      <c r="AM96" s="1">
        <f t="shared" si="140"/>
        <v>43.046843948385259</v>
      </c>
      <c r="AN96" s="1">
        <f t="shared" si="141"/>
        <v>-29.977412532390762</v>
      </c>
      <c r="AO96" s="1">
        <f t="shared" si="165"/>
        <v>0.239808670166205</v>
      </c>
      <c r="AP96" s="1">
        <f t="shared" si="142"/>
        <v>197.23359711324329</v>
      </c>
      <c r="AQ96" s="1">
        <f t="shared" si="143"/>
        <v>43.046843948385259</v>
      </c>
      <c r="AR96" s="1">
        <f t="shared" si="144"/>
        <v>-29.977412532390762</v>
      </c>
      <c r="AT96" s="1">
        <v>1.5394450697967801</v>
      </c>
      <c r="AU96" s="1">
        <v>4.6980015351804596</v>
      </c>
      <c r="AV96" s="1">
        <v>0.14841144172142301</v>
      </c>
      <c r="AW96" s="1">
        <f t="shared" si="145"/>
        <v>0.17797740608734003</v>
      </c>
      <c r="AX96" s="1">
        <f t="shared" si="146"/>
        <v>0.59718729648397284</v>
      </c>
      <c r="AY96" s="1">
        <f t="shared" si="147"/>
        <v>5.1712443037226261E-2</v>
      </c>
      <c r="AZ96" s="1">
        <f t="shared" si="166"/>
        <v>0.59353501361663064</v>
      </c>
      <c r="BA96" s="1">
        <f t="shared" si="167"/>
        <v>0.18162968895468232</v>
      </c>
      <c r="BB96" s="1">
        <f t="shared" si="168"/>
        <v>-6.4744966563056713E-2</v>
      </c>
      <c r="BC96" s="1">
        <f t="shared" si="148"/>
        <v>0.23254941077139388</v>
      </c>
      <c r="BD96" s="1">
        <f t="shared" si="149"/>
        <v>-1.675723042104511E-2</v>
      </c>
      <c r="BE96" s="1">
        <f t="shared" si="150"/>
        <v>0.22462548175239461</v>
      </c>
      <c r="BF96" s="1">
        <f t="shared" si="151"/>
        <v>4.7009222657518751E-2</v>
      </c>
      <c r="BG96" s="1">
        <f t="shared" si="152"/>
        <v>34.006765668229647</v>
      </c>
      <c r="BH96" s="1">
        <f t="shared" si="153"/>
        <v>1.8892673317179878</v>
      </c>
      <c r="BI96" s="1">
        <f t="shared" si="154"/>
        <v>2.4869647260453847</v>
      </c>
      <c r="BJ96" s="1">
        <f t="shared" si="169"/>
        <v>0.14841144172142301</v>
      </c>
      <c r="BK96" s="1">
        <f t="shared" si="155"/>
        <v>34.006765668229647</v>
      </c>
      <c r="BL96" s="1">
        <f t="shared" si="156"/>
        <v>1.8892673317179878</v>
      </c>
      <c r="BM96" s="1">
        <f t="shared" si="157"/>
        <v>2.4869647260453847</v>
      </c>
    </row>
    <row r="97" spans="4:65" x14ac:dyDescent="0.25">
      <c r="D97" s="1">
        <v>1.4685917073294701</v>
      </c>
      <c r="E97" s="14">
        <v>7.4617102546223899</v>
      </c>
      <c r="F97" s="1">
        <v>0.18210232121372999</v>
      </c>
      <c r="G97" s="1">
        <f t="shared" si="119"/>
        <v>1.34158782491327</v>
      </c>
      <c r="H97" s="1">
        <f t="shared" si="120"/>
        <v>1.1047639226402319</v>
      </c>
      <c r="I97" s="1">
        <f t="shared" si="121"/>
        <v>0.25455010621060226</v>
      </c>
      <c r="J97" s="1">
        <f t="shared" si="158"/>
        <v>1.055558328759203</v>
      </c>
      <c r="K97" s="1">
        <f t="shared" si="159"/>
        <v>1.3907934187942994</v>
      </c>
      <c r="L97" s="1">
        <f t="shared" si="160"/>
        <v>-0.22521435421854552</v>
      </c>
      <c r="M97" s="1">
        <f t="shared" si="122"/>
        <v>0.73390552426605071</v>
      </c>
      <c r="N97" s="1">
        <f t="shared" si="123"/>
        <v>0.82470198745108148</v>
      </c>
      <c r="O97" s="1">
        <f t="shared" si="124"/>
        <v>-0.35444914997239829</v>
      </c>
      <c r="P97" s="1">
        <f t="shared" si="125"/>
        <v>0.17156834544761568</v>
      </c>
      <c r="Q97" s="16">
        <f t="shared" si="126"/>
        <v>164.88775312755649</v>
      </c>
      <c r="R97" s="1">
        <f t="shared" si="127"/>
        <v>11.836412848270735</v>
      </c>
      <c r="S97" s="1">
        <f t="shared" si="128"/>
        <v>19.191586173938013</v>
      </c>
      <c r="T97" s="1">
        <f t="shared" si="161"/>
        <v>0.18210232121372999</v>
      </c>
      <c r="U97" s="1">
        <f t="shared" si="129"/>
        <v>164.88775312755649</v>
      </c>
      <c r="V97" s="1">
        <f t="shared" si="130"/>
        <v>11.836412848270735</v>
      </c>
      <c r="W97" s="1">
        <f t="shared" si="131"/>
        <v>19.191586173938013</v>
      </c>
      <c r="Y97" s="1">
        <v>1.6355224337924701</v>
      </c>
      <c r="Z97" s="1">
        <v>7.1250043363375202</v>
      </c>
      <c r="AA97" s="1">
        <v>0.21565497261018701</v>
      </c>
      <c r="AB97" s="1">
        <f t="shared" si="132"/>
        <v>1.2368324537346249</v>
      </c>
      <c r="AC97" s="1">
        <f t="shared" si="133"/>
        <v>1.0917800202644792</v>
      </c>
      <c r="AD97" s="1">
        <f t="shared" si="134"/>
        <v>-0.16253391877665063</v>
      </c>
      <c r="AE97" s="1">
        <f t="shared" si="162"/>
        <v>1.071405205243571</v>
      </c>
      <c r="AF97" s="1">
        <f t="shared" si="163"/>
        <v>1.2572072687555336</v>
      </c>
      <c r="AG97" s="1">
        <f t="shared" si="164"/>
        <v>0.15181147903064443</v>
      </c>
      <c r="AH97" s="1">
        <f t="shared" si="135"/>
        <v>0.69858374219973129</v>
      </c>
      <c r="AI97" s="1">
        <f t="shared" si="136"/>
        <v>-0.85695622005748628</v>
      </c>
      <c r="AJ97" s="1">
        <f t="shared" si="137"/>
        <v>-0.33739003920819277</v>
      </c>
      <c r="AK97" s="1">
        <f t="shared" si="138"/>
        <v>0.198396407491571</v>
      </c>
      <c r="AL97" s="1">
        <f t="shared" si="139"/>
        <v>200.8078813756303</v>
      </c>
      <c r="AM97" s="1">
        <f t="shared" si="140"/>
        <v>9.5118403847264759</v>
      </c>
      <c r="AN97" s="1">
        <f t="shared" si="141"/>
        <v>-29.391565557666674</v>
      </c>
      <c r="AO97" s="1">
        <f t="shared" si="165"/>
        <v>0.21565497261018701</v>
      </c>
      <c r="AP97" s="1">
        <f t="shared" si="142"/>
        <v>200.8078813756303</v>
      </c>
      <c r="AQ97" s="1">
        <f t="shared" si="143"/>
        <v>9.5118403847264759</v>
      </c>
      <c r="AR97" s="1">
        <f t="shared" si="144"/>
        <v>-29.391565557666674</v>
      </c>
      <c r="AT97" s="1">
        <v>1.51946504457856</v>
      </c>
      <c r="AU97" s="1">
        <v>5.2627992428654897</v>
      </c>
      <c r="AV97" s="1">
        <v>0.14622765983398001</v>
      </c>
      <c r="AW97" s="1">
        <f t="shared" si="145"/>
        <v>0.45016410863654882</v>
      </c>
      <c r="AX97" s="1">
        <f t="shared" si="146"/>
        <v>0.8877074693526239</v>
      </c>
      <c r="AY97" s="1">
        <f t="shared" si="147"/>
        <v>0.11178128700386593</v>
      </c>
      <c r="AZ97" s="1">
        <f t="shared" si="166"/>
        <v>0.87509999245277192</v>
      </c>
      <c r="BA97" s="1">
        <f t="shared" si="167"/>
        <v>0.46277158553640085</v>
      </c>
      <c r="BB97" s="1">
        <f t="shared" si="168"/>
        <v>-0.13361296891908314</v>
      </c>
      <c r="BC97" s="1">
        <f t="shared" si="148"/>
        <v>0.40136147339675182</v>
      </c>
      <c r="BD97" s="1">
        <f t="shared" si="149"/>
        <v>-3.4581581028950092E-2</v>
      </c>
      <c r="BE97" s="1">
        <f t="shared" si="150"/>
        <v>0.38768541283135544</v>
      </c>
      <c r="BF97" s="1">
        <f t="shared" si="151"/>
        <v>0.11977409986911079</v>
      </c>
      <c r="BG97" s="1">
        <f t="shared" si="152"/>
        <v>59.291685359367293</v>
      </c>
      <c r="BH97" s="1">
        <f t="shared" si="153"/>
        <v>-2.2449642470807931</v>
      </c>
      <c r="BI97" s="1">
        <f t="shared" si="154"/>
        <v>5.0567836672225166</v>
      </c>
      <c r="BJ97" s="1">
        <f t="shared" si="169"/>
        <v>0.14622765983398001</v>
      </c>
      <c r="BK97" s="1">
        <f t="shared" si="155"/>
        <v>59.291685359367293</v>
      </c>
      <c r="BL97" s="1">
        <f t="shared" si="156"/>
        <v>-2.2449642470807931</v>
      </c>
      <c r="BM97" s="1">
        <f t="shared" si="157"/>
        <v>5.0567836672225166</v>
      </c>
    </row>
    <row r="98" spans="4:65" x14ac:dyDescent="0.25">
      <c r="D98" s="1">
        <v>1.4799965201176</v>
      </c>
      <c r="E98" s="14">
        <v>5.7577241645642401</v>
      </c>
      <c r="F98" s="1">
        <v>0.17900682426591399</v>
      </c>
      <c r="G98" s="1">
        <f t="shared" si="119"/>
        <v>0.69259302768007425</v>
      </c>
      <c r="H98" s="1">
        <f t="shared" si="120"/>
        <v>1.0230485861429854</v>
      </c>
      <c r="I98" s="1">
        <f t="shared" si="121"/>
        <v>0.2161468098622305</v>
      </c>
      <c r="J98" s="1">
        <f t="shared" si="158"/>
        <v>0.98129480303788386</v>
      </c>
      <c r="K98" s="1">
        <f t="shared" si="159"/>
        <v>0.73434681078517583</v>
      </c>
      <c r="L98" s="1">
        <f t="shared" si="160"/>
        <v>-0.2424331551664643</v>
      </c>
      <c r="M98" s="1">
        <f t="shared" si="122"/>
        <v>0.51469248414691793</v>
      </c>
      <c r="N98" s="1">
        <f t="shared" si="123"/>
        <v>0.75812278379299536</v>
      </c>
      <c r="O98" s="1">
        <f t="shared" si="124"/>
        <v>-0.24857738151719233</v>
      </c>
      <c r="P98" s="1">
        <f t="shared" si="125"/>
        <v>-1.2736346521844494E-2</v>
      </c>
      <c r="Q98" s="16">
        <f t="shared" si="126"/>
        <v>134.42326220086522</v>
      </c>
      <c r="R98" s="1">
        <f t="shared" si="127"/>
        <v>38.378923409099507</v>
      </c>
      <c r="S98" s="1">
        <f t="shared" si="128"/>
        <v>29.31900230713703</v>
      </c>
      <c r="T98" s="1">
        <f t="shared" si="161"/>
        <v>0.17900682426591399</v>
      </c>
      <c r="U98" s="1">
        <f t="shared" si="129"/>
        <v>134.42326220086522</v>
      </c>
      <c r="V98" s="1">
        <f t="shared" si="130"/>
        <v>38.378923409099507</v>
      </c>
      <c r="W98" s="1">
        <f t="shared" si="131"/>
        <v>29.31900230713703</v>
      </c>
      <c r="Y98" s="1">
        <v>1.7205210787626499</v>
      </c>
      <c r="Z98" s="1">
        <v>5.0944740602403096</v>
      </c>
      <c r="AA98" s="1">
        <v>0.18308733125075999</v>
      </c>
      <c r="AB98" s="1">
        <f t="shared" si="132"/>
        <v>0.37891160396936019</v>
      </c>
      <c r="AC98" s="1">
        <f t="shared" si="133"/>
        <v>0.90448267228966683</v>
      </c>
      <c r="AD98" s="1">
        <f t="shared" si="134"/>
        <v>-0.3046426548002622</v>
      </c>
      <c r="AE98" s="1">
        <f t="shared" si="162"/>
        <v>0.80292062798421815</v>
      </c>
      <c r="AF98" s="1">
        <f t="shared" si="163"/>
        <v>0.48047364827480893</v>
      </c>
      <c r="AG98" s="1">
        <f t="shared" si="164"/>
        <v>0.36860598259748684</v>
      </c>
      <c r="AH98" s="1">
        <f t="shared" si="135"/>
        <v>0.38501828287770812</v>
      </c>
      <c r="AI98" s="1">
        <f t="shared" si="136"/>
        <v>-0.57625394748123948</v>
      </c>
      <c r="AJ98" s="1">
        <f t="shared" si="137"/>
        <v>-0.1859495515125244</v>
      </c>
      <c r="AK98" s="1">
        <f t="shared" si="138"/>
        <v>-0.18398918325468189</v>
      </c>
      <c r="AL98" s="1">
        <f t="shared" si="139"/>
        <v>95.980357673967703</v>
      </c>
      <c r="AM98" s="1">
        <f t="shared" si="140"/>
        <v>60.592264405782785</v>
      </c>
      <c r="AN98" s="1">
        <f t="shared" si="141"/>
        <v>-23.268557633717993</v>
      </c>
      <c r="AO98" s="1">
        <f t="shared" si="165"/>
        <v>0</v>
      </c>
      <c r="AP98" s="1">
        <f t="shared" si="142"/>
        <v>95.980357673967703</v>
      </c>
      <c r="AQ98" s="1">
        <f t="shared" si="143"/>
        <v>55.414285339981809</v>
      </c>
      <c r="AR98" s="1">
        <f t="shared" si="144"/>
        <v>-23.268557633717993</v>
      </c>
      <c r="AT98" s="1">
        <v>1.4183008496037299</v>
      </c>
      <c r="AU98" s="1">
        <v>5.5644572166522197</v>
      </c>
      <c r="AV98" s="1">
        <v>0.17966204731479901</v>
      </c>
      <c r="AW98" s="1">
        <f t="shared" si="145"/>
        <v>0.6084358822372159</v>
      </c>
      <c r="AX98" s="1">
        <f t="shared" si="146"/>
        <v>1.0384214979025008</v>
      </c>
      <c r="AY98" s="1">
        <f t="shared" si="147"/>
        <v>0.34972142066615919</v>
      </c>
      <c r="AZ98" s="1">
        <f t="shared" si="166"/>
        <v>0.92348357022692351</v>
      </c>
      <c r="BA98" s="1">
        <f t="shared" si="167"/>
        <v>0.7233738099127931</v>
      </c>
      <c r="BB98" s="1">
        <f t="shared" si="168"/>
        <v>-0.39814067921938784</v>
      </c>
      <c r="BC98" s="1">
        <f t="shared" si="148"/>
        <v>0.49405721404191494</v>
      </c>
      <c r="BD98" s="1">
        <f t="shared" si="149"/>
        <v>-0.1030463904120312</v>
      </c>
      <c r="BE98" s="1">
        <f t="shared" si="150"/>
        <v>0.47722262270751176</v>
      </c>
      <c r="BF98" s="1">
        <f t="shared" si="151"/>
        <v>0.18722291873380154</v>
      </c>
      <c r="BG98" s="1">
        <f t="shared" si="152"/>
        <v>91.523173023473603</v>
      </c>
      <c r="BH98" s="1">
        <f t="shared" si="153"/>
        <v>-10.2998722743556</v>
      </c>
      <c r="BI98" s="1">
        <f t="shared" si="154"/>
        <v>18.513525469825581</v>
      </c>
      <c r="BJ98" s="1">
        <f t="shared" si="169"/>
        <v>0.17966204731479901</v>
      </c>
      <c r="BK98" s="1">
        <f t="shared" si="155"/>
        <v>91.523173023473603</v>
      </c>
      <c r="BL98" s="1">
        <f t="shared" si="156"/>
        <v>-10.2998722743556</v>
      </c>
      <c r="BM98" s="1">
        <f t="shared" si="157"/>
        <v>18.513525469825581</v>
      </c>
    </row>
    <row r="99" spans="4:65" x14ac:dyDescent="0.25">
      <c r="D99" s="1">
        <v>1.45480238119966</v>
      </c>
      <c r="E99" s="14">
        <v>4.7893270860829302</v>
      </c>
      <c r="F99" s="1">
        <v>0.213295292121184</v>
      </c>
      <c r="G99" s="1">
        <f t="shared" si="119"/>
        <v>0.22688081711961056</v>
      </c>
      <c r="H99" s="1">
        <f t="shared" si="120"/>
        <v>0.71704079528550047</v>
      </c>
      <c r="I99" s="1">
        <f t="shared" si="121"/>
        <v>0.20322918264662643</v>
      </c>
      <c r="J99" s="1">
        <f t="shared" si="158"/>
        <v>0.66375046258036086</v>
      </c>
      <c r="K99" s="1">
        <f t="shared" si="159"/>
        <v>0.28017114982475017</v>
      </c>
      <c r="L99" s="1">
        <f t="shared" si="160"/>
        <v>-0.25413191345164743</v>
      </c>
      <c r="M99" s="1">
        <f t="shared" si="122"/>
        <v>0.28317648372153331</v>
      </c>
      <c r="N99" s="1">
        <f t="shared" si="123"/>
        <v>0.48946390439235182</v>
      </c>
      <c r="O99" s="1">
        <f t="shared" si="124"/>
        <v>-0.13676373951217741</v>
      </c>
      <c r="P99" s="1">
        <f t="shared" si="125"/>
        <v>-0.14007185943947154</v>
      </c>
      <c r="Q99" s="16">
        <f t="shared" si="126"/>
        <v>93.688482182069706</v>
      </c>
      <c r="R99" s="1">
        <f t="shared" si="127"/>
        <v>56.034356054550251</v>
      </c>
      <c r="S99" s="1">
        <f t="shared" si="128"/>
        <v>26.937292686162429</v>
      </c>
      <c r="T99" s="1">
        <f t="shared" si="161"/>
        <v>0</v>
      </c>
      <c r="U99" s="1">
        <f t="shared" si="129"/>
        <v>93.688482182069706</v>
      </c>
      <c r="V99" s="1">
        <f t="shared" si="130"/>
        <v>54.091070407785395</v>
      </c>
      <c r="W99" s="1">
        <f t="shared" si="131"/>
        <v>26.937292686162429</v>
      </c>
      <c r="Y99" s="1">
        <v>1.6117160226171099</v>
      </c>
      <c r="Z99" s="1">
        <v>5.2635401465220202</v>
      </c>
      <c r="AA99" s="1">
        <v>0.22043846463871</v>
      </c>
      <c r="AB99" s="1">
        <f t="shared" si="132"/>
        <v>0.44997018547448836</v>
      </c>
      <c r="AC99" s="1">
        <f t="shared" si="133"/>
        <v>0.88432540213697997</v>
      </c>
      <c r="AD99" s="1">
        <f t="shared" si="134"/>
        <v>-8.9184073187514923E-2</v>
      </c>
      <c r="AE99" s="1">
        <f t="shared" si="162"/>
        <v>0.8763078887189083</v>
      </c>
      <c r="AF99" s="1">
        <f t="shared" si="163"/>
        <v>0.45798769889255991</v>
      </c>
      <c r="AG99" s="1">
        <f t="shared" si="164"/>
        <v>0.10663942594888612</v>
      </c>
      <c r="AH99" s="1">
        <f t="shared" si="135"/>
        <v>0.40028867628344045</v>
      </c>
      <c r="AI99" s="1">
        <f t="shared" si="136"/>
        <v>-0.70544552161305152</v>
      </c>
      <c r="AJ99" s="1">
        <f t="shared" si="137"/>
        <v>-0.19332458519661996</v>
      </c>
      <c r="AK99" s="1">
        <f t="shared" si="138"/>
        <v>2.9330320468589285E-2</v>
      </c>
      <c r="AL99" s="1">
        <f t="shared" si="139"/>
        <v>152.33984935626196</v>
      </c>
      <c r="AM99" s="1">
        <f t="shared" si="140"/>
        <v>34.12572956728021</v>
      </c>
      <c r="AN99" s="1">
        <f t="shared" si="141"/>
        <v>-40.846973900388782</v>
      </c>
      <c r="AO99" s="1">
        <f t="shared" si="165"/>
        <v>0.22043846463871</v>
      </c>
      <c r="AP99" s="1">
        <f t="shared" si="142"/>
        <v>152.33984935626196</v>
      </c>
      <c r="AQ99" s="1">
        <f t="shared" si="143"/>
        <v>34.12572956728021</v>
      </c>
      <c r="AR99" s="1">
        <f t="shared" si="144"/>
        <v>-40.846973900388782</v>
      </c>
      <c r="AT99" s="1">
        <v>1.49891187727982</v>
      </c>
      <c r="AU99" s="1">
        <v>4.9672554772378801</v>
      </c>
      <c r="AV99" s="1">
        <v>0.17530665175584001</v>
      </c>
      <c r="AW99" s="1">
        <f t="shared" si="145"/>
        <v>0.30612207385178203</v>
      </c>
      <c r="AX99" s="1">
        <f t="shared" si="146"/>
        <v>0.77796663381363151</v>
      </c>
      <c r="AY99" s="1">
        <f t="shared" si="147"/>
        <v>0.14018811689762825</v>
      </c>
      <c r="AZ99" s="1">
        <f t="shared" si="166"/>
        <v>0.75544730153963691</v>
      </c>
      <c r="BA99" s="1">
        <f t="shared" si="167"/>
        <v>0.32864140612577675</v>
      </c>
      <c r="BB99" s="1">
        <f t="shared" si="168"/>
        <v>-0.17254336330526943</v>
      </c>
      <c r="BC99" s="1">
        <f t="shared" si="148"/>
        <v>0.32522661229962413</v>
      </c>
      <c r="BD99" s="1">
        <f t="shared" si="149"/>
        <v>-4.4657508529447332E-2</v>
      </c>
      <c r="BE99" s="1">
        <f t="shared" si="150"/>
        <v>0.31414478421670888</v>
      </c>
      <c r="BF99" s="1">
        <f t="shared" si="151"/>
        <v>8.5058654914623291E-2</v>
      </c>
      <c r="BG99" s="1">
        <f t="shared" si="152"/>
        <v>57.054489477161589</v>
      </c>
      <c r="BH99" s="1">
        <f t="shared" si="153"/>
        <v>-0.14965901802484211</v>
      </c>
      <c r="BI99" s="1">
        <f t="shared" si="154"/>
        <v>7.8287582960552653</v>
      </c>
      <c r="BJ99" s="1">
        <f t="shared" si="169"/>
        <v>0.17530665175584001</v>
      </c>
      <c r="BK99" s="1">
        <f t="shared" si="155"/>
        <v>57.054489477161589</v>
      </c>
      <c r="BL99" s="1">
        <f t="shared" si="156"/>
        <v>-0.14965901802484211</v>
      </c>
      <c r="BM99" s="1">
        <f t="shared" si="157"/>
        <v>7.8287582960552653</v>
      </c>
    </row>
    <row r="100" spans="4:65" x14ac:dyDescent="0.25">
      <c r="D100" s="1">
        <v>1.4881199354772201</v>
      </c>
      <c r="E100" s="14">
        <v>6.4343966934362502</v>
      </c>
      <c r="F100" s="1">
        <v>0.20547611905809801</v>
      </c>
      <c r="G100" s="1">
        <f t="shared" si="119"/>
        <v>0.98561602050795871</v>
      </c>
      <c r="H100" s="1">
        <f t="shared" si="120"/>
        <v>1.0834910081320455</v>
      </c>
      <c r="I100" s="1">
        <f t="shared" si="121"/>
        <v>0.20607933340316034</v>
      </c>
      <c r="J100" s="1">
        <f t="shared" si="158"/>
        <v>1.0489027951948793</v>
      </c>
      <c r="K100" s="1">
        <f t="shared" si="159"/>
        <v>1.0202042334451249</v>
      </c>
      <c r="L100" s="1">
        <f t="shared" si="160"/>
        <v>-0.2113236098850968</v>
      </c>
      <c r="M100" s="1">
        <f t="shared" si="122"/>
        <v>0.62073210859200112</v>
      </c>
      <c r="N100" s="1">
        <f t="shared" si="123"/>
        <v>0.82272971429859698</v>
      </c>
      <c r="O100" s="1">
        <f t="shared" si="124"/>
        <v>-0.29979058744794207</v>
      </c>
      <c r="P100" s="1">
        <f t="shared" si="125"/>
        <v>8.7272640476204727E-2</v>
      </c>
      <c r="Q100" s="16">
        <f t="shared" si="126"/>
        <v>175.80585577992503</v>
      </c>
      <c r="R100" s="1">
        <f t="shared" si="127"/>
        <v>28.542005505025045</v>
      </c>
      <c r="S100" s="1">
        <f t="shared" si="128"/>
        <v>31.178657119591335</v>
      </c>
      <c r="T100" s="1">
        <f t="shared" si="161"/>
        <v>0.20547611905809801</v>
      </c>
      <c r="U100" s="1">
        <f t="shared" si="129"/>
        <v>175.80585577992503</v>
      </c>
      <c r="V100" s="1">
        <f t="shared" si="130"/>
        <v>28.542005505025045</v>
      </c>
      <c r="W100" s="1">
        <f t="shared" si="131"/>
        <v>31.178657119591335</v>
      </c>
      <c r="Y100" s="1">
        <v>1.8478763539834699</v>
      </c>
      <c r="Z100" s="1">
        <v>5.0060186251694603</v>
      </c>
      <c r="AA100" s="1">
        <v>0.21451392117114201</v>
      </c>
      <c r="AB100" s="1">
        <f t="shared" si="132"/>
        <v>0.36855894451659243</v>
      </c>
      <c r="AC100" s="1">
        <f t="shared" si="133"/>
        <v>1.0892354449710884</v>
      </c>
      <c r="AD100" s="1">
        <f t="shared" si="134"/>
        <v>-0.52415145541665975</v>
      </c>
      <c r="AE100" s="1">
        <f t="shared" si="162"/>
        <v>0.75948438700016896</v>
      </c>
      <c r="AF100" s="1">
        <f t="shared" si="163"/>
        <v>0.69831000248751196</v>
      </c>
      <c r="AG100" s="1">
        <f t="shared" si="164"/>
        <v>0.63532891203069908</v>
      </c>
      <c r="AH100" s="1">
        <f t="shared" si="135"/>
        <v>0.43733831684630431</v>
      </c>
      <c r="AI100" s="1">
        <f t="shared" si="136"/>
        <v>-0.47088584982214698</v>
      </c>
      <c r="AJ100" s="1">
        <f t="shared" si="137"/>
        <v>-0.21121818753381863</v>
      </c>
      <c r="AK100" s="1">
        <f t="shared" si="138"/>
        <v>-0.35072706512032642</v>
      </c>
      <c r="AL100" s="1">
        <f t="shared" si="139"/>
        <v>86.908040810826336</v>
      </c>
      <c r="AM100" s="1">
        <f t="shared" si="140"/>
        <v>101.17681034542467</v>
      </c>
      <c r="AN100" s="1">
        <f t="shared" si="141"/>
        <v>-11.266830756421168</v>
      </c>
      <c r="AO100" s="1">
        <f t="shared" si="165"/>
        <v>0</v>
      </c>
      <c r="AP100" s="1">
        <f t="shared" si="142"/>
        <v>86.908040810826336</v>
      </c>
      <c r="AQ100" s="1">
        <f t="shared" si="143"/>
        <v>50.176380756873563</v>
      </c>
      <c r="AR100" s="1">
        <f t="shared" si="144"/>
        <v>-11.266830756421168</v>
      </c>
      <c r="AT100" s="1">
        <v>1.2815330305864201</v>
      </c>
      <c r="AU100" s="1">
        <v>4.9437203647805896</v>
      </c>
      <c r="AV100" s="1">
        <v>0.18195587950500899</v>
      </c>
      <c r="AW100" s="1">
        <f t="shared" si="145"/>
        <v>0.34268397082121532</v>
      </c>
      <c r="AX100" s="1">
        <f t="shared" si="146"/>
        <v>1.095414527261676</v>
      </c>
      <c r="AY100" s="1">
        <f t="shared" si="147"/>
        <v>0.52890746361485308</v>
      </c>
      <c r="AZ100" s="1">
        <f t="shared" si="166"/>
        <v>0.74496652226437476</v>
      </c>
      <c r="BA100" s="1">
        <f t="shared" si="167"/>
        <v>0.69313197581851671</v>
      </c>
      <c r="BB100" s="1">
        <f t="shared" si="168"/>
        <v>-0.64863103739026906</v>
      </c>
      <c r="BC100" s="1">
        <f t="shared" si="148"/>
        <v>0.43142954942486744</v>
      </c>
      <c r="BD100" s="1">
        <f t="shared" si="149"/>
        <v>-0.16787806572120703</v>
      </c>
      <c r="BE100" s="1">
        <f t="shared" si="150"/>
        <v>0.4167289440137355</v>
      </c>
      <c r="BF100" s="1">
        <f t="shared" si="151"/>
        <v>0.17939575611137215</v>
      </c>
      <c r="BG100" s="1">
        <f t="shared" si="152"/>
        <v>81.690964043523124</v>
      </c>
      <c r="BH100" s="1">
        <f t="shared" si="153"/>
        <v>-11.904573790762857</v>
      </c>
      <c r="BI100" s="1">
        <f t="shared" si="154"/>
        <v>30.546401097901906</v>
      </c>
      <c r="BJ100" s="1">
        <f t="shared" si="169"/>
        <v>0.18195587950500899</v>
      </c>
      <c r="BK100" s="1">
        <f t="shared" si="155"/>
        <v>81.690964043523124</v>
      </c>
      <c r="BL100" s="1">
        <f t="shared" si="156"/>
        <v>-11.904573790762857</v>
      </c>
      <c r="BM100" s="1">
        <f t="shared" si="157"/>
        <v>30.546401097901906</v>
      </c>
    </row>
    <row r="101" spans="4:65" x14ac:dyDescent="0.25">
      <c r="D101" s="1">
        <v>1.46981284012131</v>
      </c>
      <c r="E101" s="14">
        <v>6.8221379280963603</v>
      </c>
      <c r="F101" s="1">
        <v>0.13732685855278701</v>
      </c>
      <c r="G101" s="1">
        <f t="shared" si="119"/>
        <v>1.1326308641266092</v>
      </c>
      <c r="H101" s="1">
        <f t="shared" si="120"/>
        <v>1.1042989971932282</v>
      </c>
      <c r="I101" s="1">
        <f t="shared" si="121"/>
        <v>0.25268980693836873</v>
      </c>
      <c r="J101" s="1">
        <f t="shared" si="158"/>
        <v>1.0538981913654974</v>
      </c>
      <c r="K101" s="1">
        <f t="shared" si="159"/>
        <v>1.1830316699543399</v>
      </c>
      <c r="L101" s="1">
        <f t="shared" si="160"/>
        <v>-0.24471197023933874</v>
      </c>
      <c r="M101" s="1">
        <f t="shared" si="122"/>
        <v>0.67107895839595122</v>
      </c>
      <c r="N101" s="1">
        <f t="shared" si="123"/>
        <v>0.81826690109452482</v>
      </c>
      <c r="O101" s="1">
        <f t="shared" si="124"/>
        <v>-0.32410624869690807</v>
      </c>
      <c r="P101" s="1">
        <f t="shared" si="125"/>
        <v>0.10148557431861463</v>
      </c>
      <c r="Q101" s="16">
        <f t="shared" si="126"/>
        <v>119.10238982341264</v>
      </c>
      <c r="R101" s="1">
        <f t="shared" si="127"/>
        <v>17.485060689192839</v>
      </c>
      <c r="S101" s="1">
        <f t="shared" si="128"/>
        <v>17.639525895578942</v>
      </c>
      <c r="T101" s="1">
        <f t="shared" si="161"/>
        <v>0.13732685855278701</v>
      </c>
      <c r="U101" s="1">
        <f t="shared" si="129"/>
        <v>119.10238982341264</v>
      </c>
      <c r="V101" s="1">
        <f t="shared" si="130"/>
        <v>17.485060689192839</v>
      </c>
      <c r="W101" s="1">
        <f t="shared" si="131"/>
        <v>17.639525895578942</v>
      </c>
      <c r="Y101" s="1">
        <v>1.7683090454303201</v>
      </c>
      <c r="Z101" s="1">
        <v>5.2248199660535901</v>
      </c>
      <c r="AA101" s="1">
        <v>0.14166672170984401</v>
      </c>
      <c r="AB101" s="1">
        <f t="shared" si="132"/>
        <v>0.45262197114091907</v>
      </c>
      <c r="AC101" s="1">
        <f t="shared" si="133"/>
        <v>1.0125132230986094</v>
      </c>
      <c r="AD101" s="1">
        <f t="shared" si="134"/>
        <v>-0.41517880636137799</v>
      </c>
      <c r="AE101" s="1">
        <f t="shared" si="162"/>
        <v>0.83117975554667622</v>
      </c>
      <c r="AF101" s="1">
        <f t="shared" si="163"/>
        <v>0.63395543869285209</v>
      </c>
      <c r="AG101" s="1">
        <f t="shared" si="164"/>
        <v>0.49093648974865545</v>
      </c>
      <c r="AH101" s="1">
        <f t="shared" si="135"/>
        <v>0.43954055827185851</v>
      </c>
      <c r="AI101" s="1">
        <f t="shared" si="136"/>
        <v>-0.56823170336886963</v>
      </c>
      <c r="AJ101" s="1">
        <f t="shared" si="137"/>
        <v>-0.21228178846815185</v>
      </c>
      <c r="AK101" s="1">
        <f t="shared" si="138"/>
        <v>-0.24659663649452573</v>
      </c>
      <c r="AL101" s="1">
        <f t="shared" si="139"/>
        <v>72.821711257323642</v>
      </c>
      <c r="AM101" s="1">
        <f t="shared" si="140"/>
        <v>55.679412832171622</v>
      </c>
      <c r="AN101" s="1">
        <f t="shared" si="141"/>
        <v>-14.205549785037904</v>
      </c>
      <c r="AO101" s="1">
        <f t="shared" si="165"/>
        <v>0</v>
      </c>
      <c r="AP101" s="1">
        <f t="shared" si="142"/>
        <v>72.821711257323642</v>
      </c>
      <c r="AQ101" s="1">
        <f t="shared" si="143"/>
        <v>42.043634597265005</v>
      </c>
      <c r="AR101" s="1">
        <f t="shared" si="144"/>
        <v>-14.205549785037904</v>
      </c>
      <c r="AT101" s="1">
        <v>1.37722255747991</v>
      </c>
      <c r="AU101" s="1">
        <v>5.9546884343567204</v>
      </c>
      <c r="AV101" s="1">
        <v>0.26273708758126302</v>
      </c>
      <c r="AW101" s="1">
        <f t="shared" si="145"/>
        <v>0.79323519923078689</v>
      </c>
      <c r="AX101" s="1">
        <f t="shared" si="146"/>
        <v>1.1373366125497151</v>
      </c>
      <c r="AY101" s="1">
        <f t="shared" si="147"/>
        <v>0.46083274441268801</v>
      </c>
      <c r="AZ101" s="1">
        <f t="shared" si="166"/>
        <v>0.95061634027863717</v>
      </c>
      <c r="BA101" s="1">
        <f t="shared" si="167"/>
        <v>0.97995547150186479</v>
      </c>
      <c r="BB101" s="1">
        <f t="shared" si="168"/>
        <v>-0.49168391048489413</v>
      </c>
      <c r="BC101" s="1">
        <f t="shared" si="148"/>
        <v>0.57917154353415057</v>
      </c>
      <c r="BD101" s="1">
        <f t="shared" si="149"/>
        <v>-0.12725716020397382</v>
      </c>
      <c r="BE101" s="1">
        <f t="shared" si="150"/>
        <v>0.55943675175133944</v>
      </c>
      <c r="BF101" s="1">
        <f t="shared" si="151"/>
        <v>0.25363113937710324</v>
      </c>
      <c r="BG101" s="1">
        <f t="shared" si="152"/>
        <v>159.2236607715723</v>
      </c>
      <c r="BH101" s="1">
        <f t="shared" si="153"/>
        <v>-26.325200495904024</v>
      </c>
      <c r="BI101" s="1">
        <f t="shared" si="154"/>
        <v>33.435175645854251</v>
      </c>
      <c r="BJ101" s="1">
        <f t="shared" si="169"/>
        <v>0.26273708758126302</v>
      </c>
      <c r="BK101" s="1">
        <f t="shared" si="155"/>
        <v>159.2236607715723</v>
      </c>
      <c r="BL101" s="1">
        <f t="shared" si="156"/>
        <v>-26.325200495904024</v>
      </c>
      <c r="BM101" s="1">
        <f t="shared" si="157"/>
        <v>33.435175645854251</v>
      </c>
    </row>
    <row r="102" spans="4:65" x14ac:dyDescent="0.25">
      <c r="D102" s="1">
        <v>1.5124925459399099</v>
      </c>
      <c r="E102" s="14">
        <v>6.3684091495788904</v>
      </c>
      <c r="F102" s="1">
        <v>0.16471032703688601</v>
      </c>
      <c r="G102" s="1">
        <f t="shared" si="119"/>
        <v>0.95833426794547782</v>
      </c>
      <c r="H102" s="1">
        <f t="shared" si="120"/>
        <v>1.0705447637905428</v>
      </c>
      <c r="I102" s="1">
        <f t="shared" si="121"/>
        <v>0.14535835573623324</v>
      </c>
      <c r="J102" s="1">
        <f t="shared" si="158"/>
        <v>1.0532522578387205</v>
      </c>
      <c r="K102" s="1">
        <f t="shared" si="159"/>
        <v>0.97562677389730035</v>
      </c>
      <c r="L102" s="1">
        <f t="shared" si="160"/>
        <v>-0.15089871267676622</v>
      </c>
      <c r="M102" s="1">
        <f t="shared" si="122"/>
        <v>0.60866370952080617</v>
      </c>
      <c r="N102" s="1">
        <f t="shared" si="123"/>
        <v>0.84200722490854685</v>
      </c>
      <c r="O102" s="1">
        <f t="shared" si="124"/>
        <v>-0.29396199827552694</v>
      </c>
      <c r="P102" s="1">
        <f t="shared" si="125"/>
        <v>0.1262815566293902</v>
      </c>
      <c r="Q102" s="16">
        <f t="shared" si="126"/>
        <v>144.78195645155847</v>
      </c>
      <c r="R102" s="1">
        <f t="shared" si="127"/>
        <v>17.260591623029782</v>
      </c>
      <c r="S102" s="1">
        <f t="shared" si="128"/>
        <v>27.411925104484236</v>
      </c>
      <c r="T102" s="1">
        <f t="shared" si="161"/>
        <v>0.16471032703688601</v>
      </c>
      <c r="U102" s="1">
        <f t="shared" si="129"/>
        <v>144.78195645155847</v>
      </c>
      <c r="V102" s="1">
        <f t="shared" si="130"/>
        <v>17.260591623029782</v>
      </c>
      <c r="W102" s="1">
        <f t="shared" si="131"/>
        <v>27.411925104484236</v>
      </c>
      <c r="Y102" s="1">
        <v>1.6298924457999799</v>
      </c>
      <c r="Z102" s="1">
        <v>6.1596562863059301</v>
      </c>
      <c r="AA102" s="1">
        <v>9.8089655114614996E-2</v>
      </c>
      <c r="AB102" s="1">
        <f t="shared" si="132"/>
        <v>0.8710413872154984</v>
      </c>
      <c r="AC102" s="1">
        <f t="shared" si="133"/>
        <v>1.0560409758301776</v>
      </c>
      <c r="AD102" s="1">
        <f t="shared" si="134"/>
        <v>-0.14596513799120001</v>
      </c>
      <c r="AE102" s="1">
        <f t="shared" si="162"/>
        <v>1.0381838362413625</v>
      </c>
      <c r="AF102" s="1">
        <f t="shared" si="163"/>
        <v>0.88889852680431369</v>
      </c>
      <c r="AG102" s="1">
        <f t="shared" si="164"/>
        <v>0.15585412266687512</v>
      </c>
      <c r="AH102" s="1">
        <f t="shared" si="135"/>
        <v>0.57812470891370282</v>
      </c>
      <c r="AI102" s="1">
        <f t="shared" si="136"/>
        <v>-0.82811969008903008</v>
      </c>
      <c r="AJ102" s="1">
        <f t="shared" si="137"/>
        <v>-0.27921279357779799</v>
      </c>
      <c r="AK102" s="1">
        <f t="shared" si="138"/>
        <v>9.9689353284936666E-2</v>
      </c>
      <c r="AL102" s="1">
        <f t="shared" si="139"/>
        <v>83.708392330051367</v>
      </c>
      <c r="AM102" s="1">
        <f t="shared" si="140"/>
        <v>12.306153913784366</v>
      </c>
      <c r="AN102" s="1">
        <f t="shared" si="141"/>
        <v>-16.896381823460001</v>
      </c>
      <c r="AO102" s="1">
        <f t="shared" si="165"/>
        <v>9.8089655114614996E-2</v>
      </c>
      <c r="AP102" s="1">
        <f t="shared" si="142"/>
        <v>83.708392330051367</v>
      </c>
      <c r="AQ102" s="1">
        <f t="shared" si="143"/>
        <v>12.306153913784366</v>
      </c>
      <c r="AR102" s="1">
        <f t="shared" si="144"/>
        <v>-16.896381823460001</v>
      </c>
      <c r="AT102" s="1">
        <v>1.3253326362908899</v>
      </c>
      <c r="AU102" s="1">
        <v>5.2653600215755203</v>
      </c>
      <c r="AV102" s="1">
        <v>0.145640071629242</v>
      </c>
      <c r="AW102" s="1">
        <f t="shared" si="145"/>
        <v>0.48441175996592745</v>
      </c>
      <c r="AX102" s="1">
        <f t="shared" si="146"/>
        <v>1.1017301821969678</v>
      </c>
      <c r="AY102" s="1">
        <f t="shared" si="147"/>
        <v>0.51458797274960766</v>
      </c>
      <c r="AZ102" s="1">
        <f t="shared" si="166"/>
        <v>0.8226769202877755</v>
      </c>
      <c r="BA102" s="1">
        <f t="shared" si="167"/>
        <v>0.76346502187511955</v>
      </c>
      <c r="BB102" s="1">
        <f t="shared" si="168"/>
        <v>-0.59932860608901239</v>
      </c>
      <c r="BC102" s="1">
        <f t="shared" si="148"/>
        <v>0.47584258264886847</v>
      </c>
      <c r="BD102" s="1">
        <f t="shared" si="149"/>
        <v>-0.15511765753058318</v>
      </c>
      <c r="BE102" s="1">
        <f t="shared" si="150"/>
        <v>0.45962863982863256</v>
      </c>
      <c r="BF102" s="1">
        <f t="shared" si="151"/>
        <v>0.19759928793089368</v>
      </c>
      <c r="BG102" s="1">
        <f t="shared" si="152"/>
        <v>72.107802374805146</v>
      </c>
      <c r="BH102" s="1">
        <f t="shared" si="153"/>
        <v>-10.472338162772145</v>
      </c>
      <c r="BI102" s="1">
        <f t="shared" si="154"/>
        <v>22.591346753714351</v>
      </c>
      <c r="BJ102" s="1">
        <f t="shared" si="169"/>
        <v>0.145640071629242</v>
      </c>
      <c r="BK102" s="1">
        <f t="shared" si="155"/>
        <v>72.107802374805146</v>
      </c>
      <c r="BL102" s="1">
        <f t="shared" si="156"/>
        <v>-10.472338162772145</v>
      </c>
      <c r="BM102" s="1">
        <f t="shared" si="157"/>
        <v>22.591346753714351</v>
      </c>
    </row>
    <row r="103" spans="4:65" x14ac:dyDescent="0.25">
      <c r="D103" s="1">
        <v>1.4840377156517199</v>
      </c>
      <c r="E103" s="14">
        <v>5.1878582216514104</v>
      </c>
      <c r="F103" s="1">
        <v>0.230754016982406</v>
      </c>
      <c r="G103" s="1">
        <f t="shared" si="119"/>
        <v>0.41594955652566096</v>
      </c>
      <c r="H103" s="1">
        <f t="shared" si="120"/>
        <v>0.8806265525994752</v>
      </c>
      <c r="I103" s="1">
        <f t="shared" si="121"/>
        <v>0.18415420732774873</v>
      </c>
      <c r="J103" s="1">
        <f t="shared" si="158"/>
        <v>0.8453438476808347</v>
      </c>
      <c r="K103" s="1">
        <f t="shared" si="159"/>
        <v>0.45123226144430151</v>
      </c>
      <c r="L103" s="1">
        <f t="shared" si="160"/>
        <v>-0.22150161205979579</v>
      </c>
      <c r="M103" s="1">
        <f t="shared" si="122"/>
        <v>0.38897283273754085</v>
      </c>
      <c r="N103" s="1">
        <f t="shared" si="123"/>
        <v>0.64981507512748304</v>
      </c>
      <c r="O103" s="1">
        <f t="shared" si="124"/>
        <v>-0.18785945243300428</v>
      </c>
      <c r="P103" s="1">
        <f t="shared" si="125"/>
        <v>-6.8502206765761145E-2</v>
      </c>
      <c r="Q103" s="16">
        <f t="shared" si="126"/>
        <v>142.27839888334657</v>
      </c>
      <c r="R103" s="1">
        <f t="shared" si="127"/>
        <v>54.488157670722899</v>
      </c>
      <c r="S103" s="1">
        <f t="shared" si="128"/>
        <v>37.432104245922382</v>
      </c>
      <c r="T103" s="1">
        <f t="shared" si="161"/>
        <v>0.230754016982406</v>
      </c>
      <c r="U103" s="1">
        <f t="shared" si="129"/>
        <v>142.27839888334657</v>
      </c>
      <c r="V103" s="1">
        <f t="shared" si="130"/>
        <v>54.488157670722899</v>
      </c>
      <c r="W103" s="1">
        <f t="shared" si="131"/>
        <v>37.432104245922382</v>
      </c>
      <c r="Y103" s="1">
        <v>1.6031935098191401</v>
      </c>
      <c r="Z103" s="1">
        <v>5.9092252922952202</v>
      </c>
      <c r="AA103" s="1">
        <v>0.156836491014861</v>
      </c>
      <c r="AB103" s="1">
        <f t="shared" si="132"/>
        <v>0.75945412258721101</v>
      </c>
      <c r="AC103" s="1">
        <f t="shared" si="133"/>
        <v>1.0221692034432293</v>
      </c>
      <c r="AD103" s="1">
        <f t="shared" si="134"/>
        <v>-7.8721539187448689E-2</v>
      </c>
      <c r="AE103" s="1">
        <f t="shared" si="162"/>
        <v>1.0167964161570984</v>
      </c>
      <c r="AF103" s="1">
        <f t="shared" si="163"/>
        <v>0.7648269098733419</v>
      </c>
      <c r="AG103" s="1">
        <f t="shared" si="164"/>
        <v>8.706162263085318E-2</v>
      </c>
      <c r="AH103" s="1">
        <f t="shared" si="135"/>
        <v>0.534486997809132</v>
      </c>
      <c r="AI103" s="1">
        <f t="shared" si="136"/>
        <v>-0.82803357366319208</v>
      </c>
      <c r="AJ103" s="1">
        <f t="shared" si="137"/>
        <v>-0.25813739749977488</v>
      </c>
      <c r="AK103" s="1">
        <f t="shared" si="138"/>
        <v>0.12512330372155286</v>
      </c>
      <c r="AL103" s="1">
        <f t="shared" si="139"/>
        <v>133.26689422151182</v>
      </c>
      <c r="AM103" s="1">
        <f t="shared" si="140"/>
        <v>15.392600551365481</v>
      </c>
      <c r="AN103" s="1">
        <f t="shared" si="141"/>
        <v>-29.871586688450634</v>
      </c>
      <c r="AO103" s="1">
        <f t="shared" si="165"/>
        <v>0.156836491014861</v>
      </c>
      <c r="AP103" s="1">
        <f t="shared" si="142"/>
        <v>133.26689422151182</v>
      </c>
      <c r="AQ103" s="1">
        <f t="shared" si="143"/>
        <v>15.392600551365481</v>
      </c>
      <c r="AR103" s="1">
        <f t="shared" si="144"/>
        <v>-29.871586688450634</v>
      </c>
      <c r="AT103" s="1">
        <v>1.83925913504619</v>
      </c>
      <c r="AU103" s="1">
        <v>4.68295055148758</v>
      </c>
      <c r="AV103" s="1">
        <v>0.151553274696863</v>
      </c>
      <c r="AW103" s="1">
        <f t="shared" si="145"/>
        <v>0.21353516283463325</v>
      </c>
      <c r="AX103" s="1">
        <f t="shared" si="146"/>
        <v>0.92667403783540125</v>
      </c>
      <c r="AY103" s="1">
        <f t="shared" si="147"/>
        <v>-0.4167893211298771</v>
      </c>
      <c r="AZ103" s="1">
        <f t="shared" si="166"/>
        <v>0.66331313046547169</v>
      </c>
      <c r="BA103" s="1">
        <f t="shared" si="167"/>
        <v>0.47689607020456282</v>
      </c>
      <c r="BB103" s="1">
        <f t="shared" si="168"/>
        <v>0.54052499653407726</v>
      </c>
      <c r="BC103" s="1">
        <f t="shared" si="148"/>
        <v>0.34206276020101029</v>
      </c>
      <c r="BD103" s="1">
        <f t="shared" si="149"/>
        <v>0.13989816345699305</v>
      </c>
      <c r="BE103" s="1">
        <f t="shared" si="150"/>
        <v>0.33040725428988027</v>
      </c>
      <c r="BF103" s="1">
        <f t="shared" si="151"/>
        <v>0.12342978550348951</v>
      </c>
      <c r="BG103" s="1">
        <f t="shared" si="152"/>
        <v>53.20957869222778</v>
      </c>
      <c r="BH103" s="1">
        <f t="shared" si="153"/>
        <v>-5.1086074173139062</v>
      </c>
      <c r="BI103" s="1">
        <f t="shared" si="154"/>
        <v>-21.202024795984322</v>
      </c>
      <c r="BJ103" s="1">
        <f t="shared" si="169"/>
        <v>0.151553274696863</v>
      </c>
      <c r="BK103" s="1">
        <f t="shared" si="155"/>
        <v>53.20957869222778</v>
      </c>
      <c r="BL103" s="1">
        <f t="shared" si="156"/>
        <v>-5.1086074173139062</v>
      </c>
      <c r="BM103" s="1">
        <f t="shared" si="157"/>
        <v>-21.202024795984322</v>
      </c>
    </row>
    <row r="104" spans="4:65" x14ac:dyDescent="0.25">
      <c r="D104" s="1">
        <v>1.35396119849219</v>
      </c>
      <c r="E104" s="14">
        <v>4.8974391467787397</v>
      </c>
      <c r="F104" s="1">
        <v>0.170031592470133</v>
      </c>
      <c r="G104" s="1">
        <f t="shared" si="119"/>
        <v>0.29842403528278655</v>
      </c>
      <c r="H104" s="1">
        <f t="shared" si="120"/>
        <v>0.92341468972872365</v>
      </c>
      <c r="I104" s="1">
        <f t="shared" si="121"/>
        <v>0.39675958696125296</v>
      </c>
      <c r="J104" s="1">
        <f t="shared" si="158"/>
        <v>0.72776685985256728</v>
      </c>
      <c r="K104" s="1">
        <f t="shared" si="159"/>
        <v>0.49407186515894286</v>
      </c>
      <c r="L104" s="1">
        <f t="shared" si="160"/>
        <v>-0.49134322193924784</v>
      </c>
      <c r="M104" s="1">
        <f t="shared" si="122"/>
        <v>0.36655161750345305</v>
      </c>
      <c r="N104" s="1">
        <f t="shared" si="123"/>
        <v>0.48161986006682889</v>
      </c>
      <c r="O104" s="1">
        <f t="shared" si="124"/>
        <v>-0.17703083700730862</v>
      </c>
      <c r="P104" s="1">
        <f t="shared" si="125"/>
        <v>-0.28314140753078604</v>
      </c>
      <c r="Q104" s="16">
        <f t="shared" si="126"/>
        <v>70.580080908999207</v>
      </c>
      <c r="R104" s="1">
        <f t="shared" si="127"/>
        <v>68.75316070174722</v>
      </c>
      <c r="S104" s="1">
        <f t="shared" si="128"/>
        <v>14.877207986180585</v>
      </c>
      <c r="T104" s="1">
        <f t="shared" si="161"/>
        <v>0</v>
      </c>
      <c r="U104" s="1">
        <f t="shared" si="129"/>
        <v>70.580080908999207</v>
      </c>
      <c r="V104" s="1">
        <f t="shared" si="130"/>
        <v>40.749428712236259</v>
      </c>
      <c r="W104" s="1">
        <f t="shared" si="131"/>
        <v>14.877207986180585</v>
      </c>
      <c r="Y104" s="1">
        <v>1.75576700073378</v>
      </c>
      <c r="Z104" s="1">
        <v>6.0421196934002603</v>
      </c>
      <c r="AA104" s="1">
        <v>0.22527348530970501</v>
      </c>
      <c r="AB104" s="1">
        <f t="shared" si="132"/>
        <v>0.83003063253998344</v>
      </c>
      <c r="AC104" s="1">
        <f t="shared" si="133"/>
        <v>1.1353857108300343</v>
      </c>
      <c r="AD104" s="1">
        <f t="shared" si="134"/>
        <v>-0.44427936306580723</v>
      </c>
      <c r="AE104" s="1">
        <f t="shared" si="162"/>
        <v>0.96442287546763783</v>
      </c>
      <c r="AF104" s="1">
        <f t="shared" si="163"/>
        <v>1.0009934679023798</v>
      </c>
      <c r="AG104" s="1">
        <f t="shared" si="164"/>
        <v>0.46942542682281618</v>
      </c>
      <c r="AH104" s="1">
        <f t="shared" si="135"/>
        <v>0.58962490301100523</v>
      </c>
      <c r="AI104" s="1">
        <f t="shared" si="136"/>
        <v>-0.68525921830925185</v>
      </c>
      <c r="AJ104" s="1">
        <f t="shared" si="137"/>
        <v>-0.28476696082075875</v>
      </c>
      <c r="AK104" s="1">
        <f t="shared" si="138"/>
        <v>-0.13360584941001025</v>
      </c>
      <c r="AL104" s="1">
        <f t="shared" si="139"/>
        <v>152.32602249744988</v>
      </c>
      <c r="AM104" s="1">
        <f t="shared" si="140"/>
        <v>71.9752274442302</v>
      </c>
      <c r="AN104" s="1">
        <f t="shared" si="141"/>
        <v>-21.629450527853642</v>
      </c>
      <c r="AO104" s="1">
        <f t="shared" si="165"/>
        <v>0.22527348530970501</v>
      </c>
      <c r="AP104" s="1">
        <f t="shared" si="142"/>
        <v>152.32602249744988</v>
      </c>
      <c r="AQ104" s="1">
        <f t="shared" si="143"/>
        <v>71.9752274442302</v>
      </c>
      <c r="AR104" s="1">
        <f t="shared" si="144"/>
        <v>-21.629450527853642</v>
      </c>
      <c r="AT104" s="1">
        <v>1.78472927342276</v>
      </c>
      <c r="AU104" s="1">
        <v>4.2435773294603303</v>
      </c>
      <c r="AV104" s="1">
        <v>7.0504302716973E-2</v>
      </c>
      <c r="AW104" s="1">
        <f t="shared" si="145"/>
        <v>3.6014841942409115E-2</v>
      </c>
      <c r="AX104" s="1">
        <f t="shared" si="146"/>
        <v>0.41822736345911649</v>
      </c>
      <c r="AY104" s="1">
        <f t="shared" si="147"/>
        <v>-0.16026068857845857</v>
      </c>
      <c r="AZ104" s="1">
        <f t="shared" si="166"/>
        <v>0.33450279818536194</v>
      </c>
      <c r="BA104" s="1">
        <f t="shared" si="167"/>
        <v>0.11973940721616366</v>
      </c>
      <c r="BB104" s="1">
        <f t="shared" si="168"/>
        <v>0.22510944600245983</v>
      </c>
      <c r="BC104" s="1">
        <f t="shared" si="148"/>
        <v>0.13627266162045767</v>
      </c>
      <c r="BD104" s="1">
        <f t="shared" si="149"/>
        <v>5.826261185791403E-2</v>
      </c>
      <c r="BE104" s="1">
        <f t="shared" si="150"/>
        <v>0.13162928327635118</v>
      </c>
      <c r="BF104" s="1">
        <f t="shared" si="151"/>
        <v>3.099083903682931E-2</v>
      </c>
      <c r="BG104" s="1">
        <f t="shared" si="152"/>
        <v>9.5297241996759094</v>
      </c>
      <c r="BH104" s="1">
        <f t="shared" si="153"/>
        <v>0.29141639335427072</v>
      </c>
      <c r="BI104" s="1">
        <f t="shared" si="154"/>
        <v>-4.1077648235118742</v>
      </c>
      <c r="BJ104" s="1">
        <f t="shared" si="169"/>
        <v>7.0504302716973E-2</v>
      </c>
      <c r="BK104" s="1">
        <f t="shared" si="155"/>
        <v>9.5297241996759094</v>
      </c>
      <c r="BL104" s="1">
        <f t="shared" si="156"/>
        <v>0.29141639335427072</v>
      </c>
      <c r="BM104" s="1">
        <f t="shared" si="157"/>
        <v>-4.1077648235118742</v>
      </c>
    </row>
    <row r="105" spans="4:65" x14ac:dyDescent="0.25">
      <c r="D105" s="1">
        <v>1.46560903612418</v>
      </c>
      <c r="E105" s="14">
        <v>5.4083594885401096</v>
      </c>
      <c r="F105" s="1">
        <v>0.18933791167198599</v>
      </c>
      <c r="G105" s="1">
        <f t="shared" si="119"/>
        <v>0.52665759763954345</v>
      </c>
      <c r="H105" s="1">
        <f t="shared" si="120"/>
        <v>0.96126136011682095</v>
      </c>
      <c r="I105" s="1">
        <f t="shared" si="121"/>
        <v>0.23609270283031192</v>
      </c>
      <c r="J105" s="1">
        <f t="shared" si="158"/>
        <v>0.90716810279256677</v>
      </c>
      <c r="K105" s="1">
        <f t="shared" si="159"/>
        <v>0.58075085496379764</v>
      </c>
      <c r="L105" s="1">
        <f t="shared" si="160"/>
        <v>-0.27626584479364513</v>
      </c>
      <c r="M105" s="1">
        <f t="shared" si="122"/>
        <v>0.44637568732690935</v>
      </c>
      <c r="N105" s="1">
        <f t="shared" si="123"/>
        <v>0.68735804607294537</v>
      </c>
      <c r="O105" s="1">
        <f t="shared" si="124"/>
        <v>-0.21558290230829777</v>
      </c>
      <c r="P105" s="1">
        <f t="shared" si="125"/>
        <v>-8.079150161158033E-2</v>
      </c>
      <c r="Q105" s="16">
        <f t="shared" si="126"/>
        <v>124.62114924500186</v>
      </c>
      <c r="R105" s="1">
        <f t="shared" si="127"/>
        <v>49.228646495388539</v>
      </c>
      <c r="S105" s="1">
        <f t="shared" si="128"/>
        <v>29.722029272904447</v>
      </c>
      <c r="T105" s="1">
        <f t="shared" si="161"/>
        <v>0.18933791167198599</v>
      </c>
      <c r="U105" s="1">
        <f t="shared" si="129"/>
        <v>124.62114924500186</v>
      </c>
      <c r="V105" s="1">
        <f t="shared" si="130"/>
        <v>49.228646495388539</v>
      </c>
      <c r="W105" s="1">
        <f t="shared" si="131"/>
        <v>29.722029272904447</v>
      </c>
      <c r="Y105" s="1">
        <v>1.7575130275983</v>
      </c>
      <c r="Z105" s="1">
        <v>5.5345734182660804</v>
      </c>
      <c r="AA105" s="1">
        <v>0.124340848542631</v>
      </c>
      <c r="AB105" s="1">
        <f t="shared" si="132"/>
        <v>0.59999150186585481</v>
      </c>
      <c r="AC105" s="1">
        <f t="shared" si="133"/>
        <v>1.0716483110443062</v>
      </c>
      <c r="AD105" s="1">
        <f t="shared" si="134"/>
        <v>-0.42271983175475686</v>
      </c>
      <c r="AE105" s="1">
        <f t="shared" si="162"/>
        <v>0.90118082384434117</v>
      </c>
      <c r="AF105" s="1">
        <f t="shared" si="163"/>
        <v>0.77045898906582011</v>
      </c>
      <c r="AG105" s="1">
        <f t="shared" si="164"/>
        <v>0.47961968584275577</v>
      </c>
      <c r="AH105" s="1">
        <f t="shared" si="135"/>
        <v>0.50149194387304841</v>
      </c>
      <c r="AI105" s="1">
        <f t="shared" si="136"/>
        <v>-0.62971774265946756</v>
      </c>
      <c r="AJ105" s="1">
        <f t="shared" si="137"/>
        <v>-0.24220201013144291</v>
      </c>
      <c r="AK105" s="1">
        <f t="shared" si="138"/>
        <v>-0.20180022696040154</v>
      </c>
      <c r="AL105" s="1">
        <f t="shared" si="139"/>
        <v>73.549353285013538</v>
      </c>
      <c r="AM105" s="1">
        <f t="shared" si="140"/>
        <v>45.68465159588871</v>
      </c>
      <c r="AN105" s="1">
        <f t="shared" si="141"/>
        <v>-13.068941586976779</v>
      </c>
      <c r="AO105" s="1">
        <f t="shared" si="165"/>
        <v>0</v>
      </c>
      <c r="AP105" s="1">
        <f t="shared" si="142"/>
        <v>73.549353285013538</v>
      </c>
      <c r="AQ105" s="1">
        <f t="shared" si="143"/>
        <v>42.463738917825452</v>
      </c>
      <c r="AR105" s="1">
        <f t="shared" si="144"/>
        <v>-13.068941586976779</v>
      </c>
      <c r="AT105" s="1">
        <v>1.6373985305871599</v>
      </c>
      <c r="AU105" s="1">
        <v>6.7954910630900898</v>
      </c>
      <c r="AV105" s="1">
        <v>0.160263463567556</v>
      </c>
      <c r="AW105" s="1">
        <f t="shared" si="145"/>
        <v>1.1227858154843426</v>
      </c>
      <c r="AX105" s="1">
        <f t="shared" si="146"/>
        <v>1.0891214788625885</v>
      </c>
      <c r="AY105" s="1">
        <f t="shared" si="147"/>
        <v>-0.16727658199032627</v>
      </c>
      <c r="AZ105" s="1">
        <f t="shared" si="166"/>
        <v>1.0670544448784876</v>
      </c>
      <c r="BA105" s="1">
        <f t="shared" si="167"/>
        <v>1.1448528494684436</v>
      </c>
      <c r="BB105" s="1">
        <f t="shared" si="168"/>
        <v>0.16355925175063143</v>
      </c>
      <c r="BC105" s="1">
        <f t="shared" si="148"/>
        <v>0.66357218830407927</v>
      </c>
      <c r="BD105" s="1">
        <f t="shared" si="149"/>
        <v>4.233224935578097E-2</v>
      </c>
      <c r="BE105" s="1">
        <f t="shared" si="150"/>
        <v>0.64096151429006298</v>
      </c>
      <c r="BF105" s="1">
        <f t="shared" si="151"/>
        <v>0.29630972128232241</v>
      </c>
      <c r="BG105" s="1">
        <f t="shared" si="152"/>
        <v>111.51322178842268</v>
      </c>
      <c r="BH105" s="1">
        <f t="shared" si="153"/>
        <v>-19.282926426571077</v>
      </c>
      <c r="BI105" s="1">
        <f t="shared" si="154"/>
        <v>-6.7843129023629247</v>
      </c>
      <c r="BJ105" s="1">
        <f t="shared" si="169"/>
        <v>0.160263463567556</v>
      </c>
      <c r="BK105" s="1">
        <f t="shared" si="155"/>
        <v>111.51322178842268</v>
      </c>
      <c r="BL105" s="1">
        <f t="shared" si="156"/>
        <v>-19.282926426571077</v>
      </c>
      <c r="BM105" s="1">
        <f t="shared" si="157"/>
        <v>-6.7843129023629247</v>
      </c>
    </row>
    <row r="106" spans="4:65" x14ac:dyDescent="0.25">
      <c r="D106" s="1">
        <v>1.3279060985078199</v>
      </c>
      <c r="E106" s="14">
        <v>5.50863762738798</v>
      </c>
      <c r="F106" s="1">
        <v>0.19673577752016799</v>
      </c>
      <c r="G106" s="1">
        <f t="shared" si="119"/>
        <v>0.59980268180600171</v>
      </c>
      <c r="H106" s="1">
        <f t="shared" si="120"/>
        <v>1.1477006084458932</v>
      </c>
      <c r="I106" s="1">
        <f t="shared" si="121"/>
        <v>0.53850858817489766</v>
      </c>
      <c r="J106" s="1">
        <f t="shared" si="158"/>
        <v>0.86457873630201032</v>
      </c>
      <c r="K106" s="1">
        <f t="shared" si="159"/>
        <v>0.88292455394988423</v>
      </c>
      <c r="L106" s="1">
        <f t="shared" si="160"/>
        <v>-0.60411537953101491</v>
      </c>
      <c r="M106" s="1">
        <f t="shared" si="122"/>
        <v>0.52425098707556839</v>
      </c>
      <c r="N106" s="1">
        <f t="shared" si="123"/>
        <v>0.56687764311969846</v>
      </c>
      <c r="O106" s="1">
        <f t="shared" si="124"/>
        <v>-0.25319378393691394</v>
      </c>
      <c r="P106" s="1">
        <f t="shared" si="125"/>
        <v>-0.27683467436556952</v>
      </c>
      <c r="Q106" s="16">
        <f t="shared" si="126"/>
        <v>103.25392254393387</v>
      </c>
      <c r="R106" s="1">
        <f t="shared" si="127"/>
        <v>84.05134673091024</v>
      </c>
      <c r="S106" s="1">
        <f t="shared" si="128"/>
        <v>12.623860549332043</v>
      </c>
      <c r="T106" s="1">
        <f t="shared" si="161"/>
        <v>0</v>
      </c>
      <c r="U106" s="1">
        <f t="shared" si="129"/>
        <v>103.25392254393387</v>
      </c>
      <c r="V106" s="1">
        <f t="shared" si="130"/>
        <v>59.613679975624983</v>
      </c>
      <c r="W106" s="1">
        <f t="shared" si="131"/>
        <v>12.623860549332043</v>
      </c>
      <c r="Y106" s="1">
        <v>1.8266348231771601</v>
      </c>
      <c r="Z106" s="1">
        <v>4.6312700845300503</v>
      </c>
      <c r="AA106" s="1">
        <v>0.18805386662274201</v>
      </c>
      <c r="AB106" s="1">
        <f t="shared" si="132"/>
        <v>0.18671600096715968</v>
      </c>
      <c r="AC106" s="1">
        <f t="shared" si="133"/>
        <v>0.86466914395401773</v>
      </c>
      <c r="AD106" s="1">
        <f t="shared" si="134"/>
        <v>-0.38059422521608688</v>
      </c>
      <c r="AE106" s="1">
        <f t="shared" si="162"/>
        <v>0.63490037574427083</v>
      </c>
      <c r="AF106" s="1">
        <f t="shared" si="163"/>
        <v>0.41648476917690658</v>
      </c>
      <c r="AG106" s="1">
        <f t="shared" si="164"/>
        <v>0.49782600975765201</v>
      </c>
      <c r="AH106" s="1">
        <f t="shared" si="135"/>
        <v>0.31541554347635326</v>
      </c>
      <c r="AI106" s="1">
        <f t="shared" si="136"/>
        <v>-0.40225766308666899</v>
      </c>
      <c r="AJ106" s="1">
        <f t="shared" si="137"/>
        <v>-0.15233400972840616</v>
      </c>
      <c r="AK106" s="1">
        <f t="shared" si="138"/>
        <v>-0.30864538332890207</v>
      </c>
      <c r="AL106" s="1">
        <f t="shared" si="139"/>
        <v>62.092277701186255</v>
      </c>
      <c r="AM106" s="1">
        <f t="shared" si="140"/>
        <v>76.727031989452826</v>
      </c>
      <c r="AN106" s="1">
        <f t="shared" si="141"/>
        <v>-13.014025110638521</v>
      </c>
      <c r="AO106" s="1">
        <f t="shared" si="165"/>
        <v>0</v>
      </c>
      <c r="AP106" s="1">
        <f t="shared" si="142"/>
        <v>62.092277701186255</v>
      </c>
      <c r="AQ106" s="1">
        <f t="shared" si="143"/>
        <v>35.848993245376882</v>
      </c>
      <c r="AR106" s="1">
        <f t="shared" si="144"/>
        <v>-13.014025110638521</v>
      </c>
      <c r="AT106" s="1">
        <v>1.6914529175655499</v>
      </c>
      <c r="AU106" s="1">
        <v>6.8642799479385896</v>
      </c>
      <c r="AV106" s="1">
        <v>0.175767819271476</v>
      </c>
      <c r="AW106" s="1">
        <f t="shared" si="145"/>
        <v>1.1477140335476477</v>
      </c>
      <c r="AX106" s="1">
        <f t="shared" si="146"/>
        <v>1.1159009615492976</v>
      </c>
      <c r="AY106" s="1">
        <f t="shared" si="147"/>
        <v>-0.30108587817097443</v>
      </c>
      <c r="AZ106" s="1">
        <f t="shared" si="166"/>
        <v>1.0444089633605806</v>
      </c>
      <c r="BA106" s="1">
        <f t="shared" si="167"/>
        <v>1.2192060317363651</v>
      </c>
      <c r="BB106" s="1">
        <f t="shared" si="168"/>
        <v>0.28856060046944687</v>
      </c>
      <c r="BC106" s="1">
        <f t="shared" si="148"/>
        <v>0.6790844985290837</v>
      </c>
      <c r="BD106" s="1">
        <f t="shared" si="149"/>
        <v>7.4684979067711987E-2</v>
      </c>
      <c r="BE106" s="1">
        <f t="shared" si="150"/>
        <v>0.65594525536180281</v>
      </c>
      <c r="BF106" s="1">
        <f t="shared" si="151"/>
        <v>0.31555374091723953</v>
      </c>
      <c r="BG106" s="1">
        <f t="shared" si="152"/>
        <v>125.72070647112244</v>
      </c>
      <c r="BH106" s="1">
        <f t="shared" si="153"/>
        <v>-23.73399600835247</v>
      </c>
      <c r="BI106" s="1">
        <f t="shared" si="154"/>
        <v>-13.127215903067597</v>
      </c>
      <c r="BJ106" s="1">
        <f t="shared" si="169"/>
        <v>0.175767819271476</v>
      </c>
      <c r="BK106" s="1">
        <f t="shared" si="155"/>
        <v>125.72070647112244</v>
      </c>
      <c r="BL106" s="1">
        <f t="shared" si="156"/>
        <v>-23.73399600835247</v>
      </c>
      <c r="BM106" s="1">
        <f t="shared" si="157"/>
        <v>-13.127215903067597</v>
      </c>
    </row>
    <row r="107" spans="4:65" x14ac:dyDescent="0.25">
      <c r="D107" s="1">
        <v>1.3897874833552399</v>
      </c>
      <c r="E107" s="14">
        <v>5.6698563580258599</v>
      </c>
      <c r="F107" s="1">
        <v>0.101762256053714</v>
      </c>
      <c r="G107" s="1">
        <f t="shared" si="119"/>
        <v>0.6626208953784295</v>
      </c>
      <c r="H107" s="1">
        <f t="shared" si="120"/>
        <v>1.0879782342983484</v>
      </c>
      <c r="I107" s="1">
        <f t="shared" si="121"/>
        <v>0.41911504574165481</v>
      </c>
      <c r="J107" s="1">
        <f t="shared" si="158"/>
        <v>0.92575871858300429</v>
      </c>
      <c r="K107" s="1">
        <f t="shared" si="159"/>
        <v>0.8248404110937736</v>
      </c>
      <c r="L107" s="1">
        <f t="shared" si="160"/>
        <v>-0.46727241713337347</v>
      </c>
      <c r="M107" s="1">
        <f t="shared" si="122"/>
        <v>0.52517973890303338</v>
      </c>
      <c r="N107" s="1">
        <f t="shared" si="123"/>
        <v>0.65347326061689781</v>
      </c>
      <c r="O107" s="1">
        <f t="shared" si="124"/>
        <v>-0.25364233662509472</v>
      </c>
      <c r="P107" s="1">
        <f t="shared" si="125"/>
        <v>-0.1773965876577796</v>
      </c>
      <c r="Q107" s="16">
        <f t="shared" si="126"/>
        <v>63.421012310340046</v>
      </c>
      <c r="R107" s="1">
        <f t="shared" si="127"/>
        <v>35.682701387434257</v>
      </c>
      <c r="S107" s="1">
        <f t="shared" si="128"/>
        <v>10.896287525657669</v>
      </c>
      <c r="T107" s="1">
        <f t="shared" si="161"/>
        <v>0.101762256053714</v>
      </c>
      <c r="U107" s="1">
        <f t="shared" si="129"/>
        <v>63.421012310340046</v>
      </c>
      <c r="V107" s="1">
        <f t="shared" si="130"/>
        <v>35.682701387434257</v>
      </c>
      <c r="W107" s="1">
        <f t="shared" si="131"/>
        <v>10.896287525657669</v>
      </c>
      <c r="Y107" s="1">
        <v>1.7931325003647101</v>
      </c>
      <c r="Z107" s="1">
        <v>4.5568976360866298</v>
      </c>
      <c r="AA107" s="1">
        <v>0.18240555098050601</v>
      </c>
      <c r="AB107" s="1">
        <f t="shared" si="132"/>
        <v>0.14597938737998295</v>
      </c>
      <c r="AC107" s="1">
        <f t="shared" si="133"/>
        <v>0.73471219830590284</v>
      </c>
      <c r="AD107" s="1">
        <f t="shared" si="134"/>
        <v>-0.30892142495008235</v>
      </c>
      <c r="AE107" s="1">
        <f t="shared" si="162"/>
        <v>0.57319926005687283</v>
      </c>
      <c r="AF107" s="1">
        <f t="shared" si="163"/>
        <v>0.30749232562901291</v>
      </c>
      <c r="AG107" s="1">
        <f t="shared" si="164"/>
        <v>0.40550460380569087</v>
      </c>
      <c r="AH107" s="1">
        <f t="shared" si="135"/>
        <v>0.26420747570576569</v>
      </c>
      <c r="AI107" s="1">
        <f t="shared" si="136"/>
        <v>-0.37453821198635667</v>
      </c>
      <c r="AJ107" s="1">
        <f t="shared" si="137"/>
        <v>-0.12760241214142046</v>
      </c>
      <c r="AK107" s="1">
        <f t="shared" si="138"/>
        <v>-0.25962634222854619</v>
      </c>
      <c r="AL107" s="1">
        <f t="shared" si="139"/>
        <v>56.133176250995184</v>
      </c>
      <c r="AM107" s="1">
        <f t="shared" si="140"/>
        <v>64.068709413082019</v>
      </c>
      <c r="AN107" s="1">
        <f t="shared" si="141"/>
        <v>-14.001846915543231</v>
      </c>
      <c r="AO107" s="1">
        <f t="shared" si="165"/>
        <v>0</v>
      </c>
      <c r="AP107" s="1">
        <f t="shared" si="142"/>
        <v>56.133176250995184</v>
      </c>
      <c r="AQ107" s="1">
        <f t="shared" si="143"/>
        <v>32.408504418980776</v>
      </c>
      <c r="AR107" s="1">
        <f t="shared" si="144"/>
        <v>-14.001846915543231</v>
      </c>
      <c r="AT107" s="1">
        <v>1.66619395026845</v>
      </c>
      <c r="AU107" s="1">
        <v>5.55231605129421</v>
      </c>
      <c r="AV107" s="1">
        <v>0.14788255508242601</v>
      </c>
      <c r="AW107" s="1">
        <f t="shared" si="145"/>
        <v>0.59555459570567915</v>
      </c>
      <c r="AX107" s="1">
        <f t="shared" si="146"/>
        <v>0.98820618716534514</v>
      </c>
      <c r="AY107" s="1">
        <f t="shared" si="147"/>
        <v>-0.22041189561307864</v>
      </c>
      <c r="AZ107" s="1">
        <f t="shared" si="166"/>
        <v>0.94284474586039246</v>
      </c>
      <c r="BA107" s="1">
        <f t="shared" si="167"/>
        <v>0.64091603701063193</v>
      </c>
      <c r="BB107" s="1">
        <f t="shared" si="168"/>
        <v>0.25364342193280304</v>
      </c>
      <c r="BC107" s="1">
        <f t="shared" si="148"/>
        <v>0.47512823486130729</v>
      </c>
      <c r="BD107" s="1">
        <f t="shared" si="149"/>
        <v>6.5647748261183622E-2</v>
      </c>
      <c r="BE107" s="1">
        <f t="shared" si="150"/>
        <v>0.45893863285167474</v>
      </c>
      <c r="BF107" s="1">
        <f t="shared" si="151"/>
        <v>0.16588127668998354</v>
      </c>
      <c r="BG107" s="1">
        <f t="shared" si="152"/>
        <v>71.905513242713184</v>
      </c>
      <c r="BH107" s="1">
        <f t="shared" si="153"/>
        <v>-6.1292809458354558</v>
      </c>
      <c r="BI107" s="1">
        <f t="shared" si="154"/>
        <v>-9.7081567482717404</v>
      </c>
      <c r="BJ107" s="1">
        <f t="shared" si="169"/>
        <v>0.14788255508242601</v>
      </c>
      <c r="BK107" s="1">
        <f t="shared" si="155"/>
        <v>71.905513242713184</v>
      </c>
      <c r="BL107" s="1">
        <f t="shared" si="156"/>
        <v>-6.1292809458354558</v>
      </c>
      <c r="BM107" s="1">
        <f t="shared" si="157"/>
        <v>-9.7081567482717404</v>
      </c>
    </row>
    <row r="108" spans="4:65" x14ac:dyDescent="0.25">
      <c r="D108" s="1">
        <v>1.17960758242375</v>
      </c>
      <c r="E108" s="14">
        <v>5.2291850917802201</v>
      </c>
      <c r="F108" s="1">
        <v>0.12943590383873901</v>
      </c>
      <c r="G108" s="1">
        <f t="shared" si="119"/>
        <v>0.51805511628863532</v>
      </c>
      <c r="H108" s="1">
        <f t="shared" si="120"/>
        <v>1.4232565615104777</v>
      </c>
      <c r="I108" s="1">
        <f t="shared" si="121"/>
        <v>0.7615464622254795</v>
      </c>
      <c r="J108" s="1">
        <f t="shared" si="158"/>
        <v>0.75479254908072191</v>
      </c>
      <c r="K108" s="1">
        <f t="shared" si="159"/>
        <v>1.1865191287183912</v>
      </c>
      <c r="L108" s="1">
        <f t="shared" si="160"/>
        <v>-0.85918767934873319</v>
      </c>
      <c r="M108" s="1">
        <f t="shared" si="122"/>
        <v>0.58239350333973394</v>
      </c>
      <c r="N108" s="1">
        <f t="shared" si="123"/>
        <v>0.40902213851295355</v>
      </c>
      <c r="O108" s="1">
        <f t="shared" si="124"/>
        <v>-0.28127446296940878</v>
      </c>
      <c r="P108" s="1">
        <f t="shared" si="125"/>
        <v>-0.41163075385509834</v>
      </c>
      <c r="Q108" s="16">
        <f t="shared" si="126"/>
        <v>48.080382876904032</v>
      </c>
      <c r="R108" s="1">
        <f t="shared" si="127"/>
        <v>68.042406226905413</v>
      </c>
      <c r="S108" s="1">
        <f t="shared" si="128"/>
        <v>-5.0583242011857408</v>
      </c>
      <c r="T108" s="1">
        <f t="shared" si="161"/>
        <v>0</v>
      </c>
      <c r="U108" s="1">
        <f t="shared" si="129"/>
        <v>48.080382876904032</v>
      </c>
      <c r="V108" s="1">
        <f t="shared" si="130"/>
        <v>27.759221996720814</v>
      </c>
      <c r="W108" s="1">
        <f t="shared" si="131"/>
        <v>-5.0583242011857408</v>
      </c>
      <c r="Y108" s="1">
        <v>1.9902916751004001</v>
      </c>
      <c r="Z108" s="1">
        <v>4.8194189342350198</v>
      </c>
      <c r="AA108" s="1">
        <v>0.17879941423683701</v>
      </c>
      <c r="AB108" s="1">
        <f t="shared" si="132"/>
        <v>0.33649725226701011</v>
      </c>
      <c r="AC108" s="1">
        <f t="shared" si="133"/>
        <v>1.43354769071141</v>
      </c>
      <c r="AD108" s="1">
        <f t="shared" si="134"/>
        <v>-0.67080665676201001</v>
      </c>
      <c r="AE108" s="1">
        <f t="shared" si="162"/>
        <v>0.75249532990724499</v>
      </c>
      <c r="AF108" s="1">
        <f t="shared" si="163"/>
        <v>1.0175496130711748</v>
      </c>
      <c r="AG108" s="1">
        <f t="shared" si="164"/>
        <v>0.85632823357816568</v>
      </c>
      <c r="AH108" s="1">
        <f t="shared" si="135"/>
        <v>0.5310134828935259</v>
      </c>
      <c r="AI108" s="1">
        <f t="shared" si="136"/>
        <v>-0.40784055624494153</v>
      </c>
      <c r="AJ108" s="1">
        <f t="shared" si="137"/>
        <v>-0.25645981861728279</v>
      </c>
      <c r="AK108" s="1">
        <f t="shared" si="138"/>
        <v>-0.45297130953961223</v>
      </c>
      <c r="AL108" s="1">
        <f t="shared" si="139"/>
        <v>62.184336081928585</v>
      </c>
      <c r="AM108" s="1">
        <f t="shared" si="140"/>
        <v>100.51030074412803</v>
      </c>
      <c r="AN108" s="1">
        <f t="shared" si="141"/>
        <v>3.2506519957561295</v>
      </c>
      <c r="AO108" s="1">
        <f t="shared" si="165"/>
        <v>0</v>
      </c>
      <c r="AP108" s="1">
        <f t="shared" si="142"/>
        <v>62.184336081928585</v>
      </c>
      <c r="AQ108" s="1">
        <f t="shared" si="143"/>
        <v>35.902143176279623</v>
      </c>
      <c r="AR108" s="1">
        <f t="shared" si="144"/>
        <v>3.2506519957561295</v>
      </c>
      <c r="AT108" s="1">
        <v>1.8506406956019701</v>
      </c>
      <c r="AU108" s="1">
        <v>5.5772799867133296</v>
      </c>
      <c r="AV108" s="1">
        <v>0.15276839232143699</v>
      </c>
      <c r="AW108" s="1">
        <f t="shared" si="145"/>
        <v>0.64106760010869068</v>
      </c>
      <c r="AX108" s="1">
        <f t="shared" si="146"/>
        <v>1.2212791969605226</v>
      </c>
      <c r="AY108" s="1">
        <f t="shared" si="147"/>
        <v>-0.61963194549545597</v>
      </c>
      <c r="AZ108" s="1">
        <f t="shared" si="166"/>
        <v>0.84803845987476478</v>
      </c>
      <c r="BA108" s="1">
        <f t="shared" si="167"/>
        <v>1.0143083371944484</v>
      </c>
      <c r="BB108" s="1">
        <f t="shared" si="168"/>
        <v>0.67911243850547032</v>
      </c>
      <c r="BC108" s="1">
        <f t="shared" si="148"/>
        <v>0.55870403912076394</v>
      </c>
      <c r="BD108" s="1">
        <f t="shared" si="149"/>
        <v>0.17576723285122997</v>
      </c>
      <c r="BE108" s="1">
        <f t="shared" si="150"/>
        <v>0.5396666606387639</v>
      </c>
      <c r="BF108" s="1">
        <f t="shared" si="151"/>
        <v>0.26252231527219255</v>
      </c>
      <c r="BG108" s="1">
        <f t="shared" si="152"/>
        <v>90.014763485828482</v>
      </c>
      <c r="BH108" s="1">
        <f t="shared" si="153"/>
        <v>-17.400484037863354</v>
      </c>
      <c r="BI108" s="1">
        <f t="shared" si="154"/>
        <v>-26.851677585470089</v>
      </c>
      <c r="BJ108" s="1">
        <f t="shared" si="169"/>
        <v>0.15276839232143699</v>
      </c>
      <c r="BK108" s="1">
        <f t="shared" si="155"/>
        <v>90.014763485828482</v>
      </c>
      <c r="BL108" s="1">
        <f t="shared" si="156"/>
        <v>-17.400484037863354</v>
      </c>
      <c r="BM108" s="1">
        <f t="shared" si="157"/>
        <v>-26.851677585470089</v>
      </c>
    </row>
    <row r="109" spans="4:65" x14ac:dyDescent="0.25">
      <c r="D109" s="1">
        <v>1.2314951830087999</v>
      </c>
      <c r="E109" s="14">
        <v>5.1473249028157602</v>
      </c>
      <c r="F109" s="1">
        <v>0.153057253911349</v>
      </c>
      <c r="G109" s="1">
        <f t="shared" si="119"/>
        <v>0.45866114522370227</v>
      </c>
      <c r="H109" s="1">
        <f t="shared" si="120"/>
        <v>1.2743700456620197</v>
      </c>
      <c r="I109" s="1">
        <f t="shared" si="121"/>
        <v>0.66064606693022954</v>
      </c>
      <c r="J109" s="1">
        <f t="shared" si="158"/>
        <v>0.76931900372593498</v>
      </c>
      <c r="K109" s="1">
        <f t="shared" si="159"/>
        <v>0.96371218715978724</v>
      </c>
      <c r="L109" s="1">
        <f t="shared" si="160"/>
        <v>-0.77029299676977891</v>
      </c>
      <c r="M109" s="1">
        <f t="shared" si="122"/>
        <v>0.51990935726571663</v>
      </c>
      <c r="N109" s="1">
        <f t="shared" si="123"/>
        <v>0.4441813915189588</v>
      </c>
      <c r="O109" s="1">
        <f t="shared" si="124"/>
        <v>-0.25109693775615277</v>
      </c>
      <c r="P109" s="1">
        <f t="shared" si="125"/>
        <v>-0.39493558241861682</v>
      </c>
      <c r="Q109" s="16">
        <f t="shared" si="126"/>
        <v>59.787015453429547</v>
      </c>
      <c r="R109" s="1">
        <f t="shared" si="127"/>
        <v>78.60000416153926</v>
      </c>
      <c r="S109" s="1">
        <f t="shared" si="128"/>
        <v>0.70932376981947187</v>
      </c>
      <c r="T109" s="1">
        <f t="shared" si="161"/>
        <v>0</v>
      </c>
      <c r="U109" s="1">
        <f t="shared" si="129"/>
        <v>59.787015453429547</v>
      </c>
      <c r="V109" s="1">
        <f t="shared" si="130"/>
        <v>34.518049466081862</v>
      </c>
      <c r="W109" s="1">
        <f t="shared" si="131"/>
        <v>0.70932376981947187</v>
      </c>
      <c r="Y109" s="1">
        <v>1.8217360889218399</v>
      </c>
      <c r="Z109" s="1">
        <v>5.9615515778984696</v>
      </c>
      <c r="AA109" s="1">
        <v>0.22636704226586599</v>
      </c>
      <c r="AB109" s="1">
        <f t="shared" si="132"/>
        <v>0.80521675241105295</v>
      </c>
      <c r="AC109" s="1">
        <f t="shared" si="133"/>
        <v>1.2129020840538953</v>
      </c>
      <c r="AD109" s="1">
        <f t="shared" si="134"/>
        <v>-0.58752761459576652</v>
      </c>
      <c r="AE109" s="1">
        <f t="shared" si="162"/>
        <v>0.905119855102264</v>
      </c>
      <c r="AF109" s="1">
        <f t="shared" si="163"/>
        <v>1.1129989813626844</v>
      </c>
      <c r="AG109" s="1">
        <f t="shared" si="164"/>
        <v>0.61313709522265591</v>
      </c>
      <c r="AH109" s="1">
        <f t="shared" si="135"/>
        <v>0.60543565093948448</v>
      </c>
      <c r="AI109" s="1">
        <f t="shared" si="136"/>
        <v>-0.59845595812738472</v>
      </c>
      <c r="AJ109" s="1">
        <f t="shared" si="137"/>
        <v>-0.29240296569929103</v>
      </c>
      <c r="AK109" s="1">
        <f t="shared" si="138"/>
        <v>-0.22483384302382409</v>
      </c>
      <c r="AL109" s="1">
        <f t="shared" si="139"/>
        <v>132.11837123355701</v>
      </c>
      <c r="AM109" s="1">
        <f t="shared" si="140"/>
        <v>88.091363139798901</v>
      </c>
      <c r="AN109" s="1">
        <f t="shared" si="141"/>
        <v>-10.412789464556498</v>
      </c>
      <c r="AO109" s="1">
        <f t="shared" si="165"/>
        <v>0</v>
      </c>
      <c r="AP109" s="1">
        <f t="shared" si="142"/>
        <v>132.11837123355701</v>
      </c>
      <c r="AQ109" s="1">
        <f t="shared" si="143"/>
        <v>76.27857719658904</v>
      </c>
      <c r="AR109" s="1">
        <f t="shared" si="144"/>
        <v>-10.412789464556498</v>
      </c>
      <c r="AT109" s="1">
        <v>1.4929865436001599</v>
      </c>
      <c r="AU109" s="1">
        <v>6.1485181093014996</v>
      </c>
      <c r="AV109" s="1">
        <v>0.21484696530424699</v>
      </c>
      <c r="AW109" s="1">
        <f t="shared" si="145"/>
        <v>0.86700579027798952</v>
      </c>
      <c r="AX109" s="1">
        <f t="shared" si="146"/>
        <v>1.0625078448251701</v>
      </c>
      <c r="AY109" s="1">
        <f t="shared" si="147"/>
        <v>0.19173898503960038</v>
      </c>
      <c r="AZ109" s="1">
        <f t="shared" si="166"/>
        <v>1.0316085426265447</v>
      </c>
      <c r="BA109" s="1">
        <f t="shared" si="167"/>
        <v>0.89790509247661499</v>
      </c>
      <c r="BB109" s="1">
        <f t="shared" si="168"/>
        <v>-0.20457259975754233</v>
      </c>
      <c r="BC109" s="1">
        <f t="shared" si="148"/>
        <v>0.57885409053094783</v>
      </c>
      <c r="BD109" s="1">
        <f t="shared" si="149"/>
        <v>-5.2947284923387516E-2</v>
      </c>
      <c r="BE109" s="1">
        <f t="shared" si="150"/>
        <v>0.55913011569691295</v>
      </c>
      <c r="BF109" s="1">
        <f t="shared" si="151"/>
        <v>0.23239493862748811</v>
      </c>
      <c r="BG109" s="1">
        <f t="shared" si="152"/>
        <v>128.95683237568107</v>
      </c>
      <c r="BH109" s="1">
        <f t="shared" si="153"/>
        <v>-17.136784886326502</v>
      </c>
      <c r="BI109" s="1">
        <f t="shared" si="154"/>
        <v>11.375563486889089</v>
      </c>
      <c r="BJ109" s="1">
        <f t="shared" si="169"/>
        <v>0.21484696530424699</v>
      </c>
      <c r="BK109" s="1">
        <f t="shared" si="155"/>
        <v>128.95683237568107</v>
      </c>
      <c r="BL109" s="1">
        <f t="shared" si="156"/>
        <v>-17.136784886326502</v>
      </c>
      <c r="BM109" s="1">
        <f t="shared" si="157"/>
        <v>11.375563486889089</v>
      </c>
    </row>
    <row r="110" spans="4:65" x14ac:dyDescent="0.25">
      <c r="D110" s="1">
        <v>1.43449048614453</v>
      </c>
      <c r="E110" s="14">
        <v>6.1119326035514296</v>
      </c>
      <c r="F110" s="1">
        <v>0.12242896489594</v>
      </c>
      <c r="G110" s="1">
        <f t="shared" si="119"/>
        <v>0.85505390298619965</v>
      </c>
      <c r="H110" s="1">
        <f t="shared" si="120"/>
        <v>1.095706082140723</v>
      </c>
      <c r="I110" s="1">
        <f t="shared" si="121"/>
        <v>0.33236574192986718</v>
      </c>
      <c r="J110" s="1">
        <f t="shared" si="158"/>
        <v>1.0017738852309268</v>
      </c>
      <c r="K110" s="1">
        <f t="shared" si="159"/>
        <v>0.9489860998959958</v>
      </c>
      <c r="L110" s="1">
        <f t="shared" si="160"/>
        <v>-0.35248931426555979</v>
      </c>
      <c r="M110" s="1">
        <f t="shared" si="122"/>
        <v>0.58522799553807681</v>
      </c>
      <c r="N110" s="1">
        <f t="shared" si="123"/>
        <v>0.74676923992738342</v>
      </c>
      <c r="O110" s="1">
        <f t="shared" si="124"/>
        <v>-0.2826434175788059</v>
      </c>
      <c r="P110" s="1">
        <f t="shared" si="125"/>
        <v>-4.9247382085853664E-2</v>
      </c>
      <c r="Q110" s="16">
        <f t="shared" si="126"/>
        <v>91.631318749431557</v>
      </c>
      <c r="R110" s="1">
        <f t="shared" si="127"/>
        <v>30.794534759563184</v>
      </c>
      <c r="S110" s="1">
        <f t="shared" si="128"/>
        <v>15.745373715958609</v>
      </c>
      <c r="T110" s="1">
        <f t="shared" si="161"/>
        <v>0.12242896489594</v>
      </c>
      <c r="U110" s="1">
        <f t="shared" si="129"/>
        <v>91.631318749431557</v>
      </c>
      <c r="V110" s="1">
        <f t="shared" si="130"/>
        <v>30.794534759563184</v>
      </c>
      <c r="W110" s="1">
        <f t="shared" si="131"/>
        <v>15.745373715958609</v>
      </c>
      <c r="Y110" s="1">
        <v>1.67709695612106</v>
      </c>
      <c r="Z110" s="1">
        <v>6.0225402059873003</v>
      </c>
      <c r="AA110" s="1">
        <v>0.122853453966492</v>
      </c>
      <c r="AB110" s="1">
        <f t="shared" si="132"/>
        <v>0.81388792812423127</v>
      </c>
      <c r="AC110" s="1">
        <f t="shared" si="133"/>
        <v>1.0662058301305575</v>
      </c>
      <c r="AD110" s="1">
        <f t="shared" si="134"/>
        <v>-0.25891386030193825</v>
      </c>
      <c r="AE110" s="1">
        <f t="shared" si="162"/>
        <v>1.0087337255497171</v>
      </c>
      <c r="AF110" s="1">
        <f t="shared" si="163"/>
        <v>0.87136003270507145</v>
      </c>
      <c r="AG110" s="1">
        <f t="shared" si="164"/>
        <v>0.27970446028482698</v>
      </c>
      <c r="AH110" s="1">
        <f t="shared" si="135"/>
        <v>0.56402812747643649</v>
      </c>
      <c r="AI110" s="1">
        <f t="shared" si="136"/>
        <v>-0.77142936623068248</v>
      </c>
      <c r="AJ110" s="1">
        <f t="shared" si="137"/>
        <v>-0.27240466754147669</v>
      </c>
      <c r="AK110" s="1">
        <f t="shared" si="138"/>
        <v>-8.452769651214026E-3</v>
      </c>
      <c r="AL110" s="1">
        <f t="shared" si="139"/>
        <v>95.172956008736861</v>
      </c>
      <c r="AM110" s="1">
        <f t="shared" si="140"/>
        <v>26.576601269296443</v>
      </c>
      <c r="AN110" s="1">
        <f t="shared" si="141"/>
        <v>-18.404101096962648</v>
      </c>
      <c r="AO110" s="1">
        <f t="shared" si="165"/>
        <v>0.122853453966492</v>
      </c>
      <c r="AP110" s="1">
        <f t="shared" si="142"/>
        <v>95.172956008736861</v>
      </c>
      <c r="AQ110" s="1">
        <f t="shared" si="143"/>
        <v>26.576601269296443</v>
      </c>
      <c r="AR110" s="1">
        <f t="shared" si="144"/>
        <v>-18.404101096962648</v>
      </c>
      <c r="AT110" s="1">
        <v>1.45285259632454</v>
      </c>
      <c r="AU110" s="1">
        <v>6.8136083096583002</v>
      </c>
      <c r="AV110" s="1">
        <v>0.18933465151426199</v>
      </c>
      <c r="AW110" s="1">
        <f t="shared" si="145"/>
        <v>1.1297314482256731</v>
      </c>
      <c r="AX110" s="1">
        <f t="shared" si="146"/>
        <v>1.1136057704218225</v>
      </c>
      <c r="AY110" s="1">
        <f t="shared" si="147"/>
        <v>0.29438481100737118</v>
      </c>
      <c r="AZ110" s="1">
        <f t="shared" si="166"/>
        <v>1.0450295665314486</v>
      </c>
      <c r="BA110" s="1">
        <f t="shared" si="167"/>
        <v>1.1983076521160467</v>
      </c>
      <c r="BB110" s="1">
        <f t="shared" si="168"/>
        <v>-0.28434817291989795</v>
      </c>
      <c r="BC110" s="1">
        <f t="shared" si="148"/>
        <v>0.6730011655942485</v>
      </c>
      <c r="BD110" s="1">
        <f t="shared" si="149"/>
        <v>-7.3594722591774686E-2</v>
      </c>
      <c r="BE110" s="1">
        <f t="shared" si="150"/>
        <v>0.6500692069701306</v>
      </c>
      <c r="BF110" s="1">
        <f t="shared" si="151"/>
        <v>0.31014484225971889</v>
      </c>
      <c r="BG110" s="1">
        <f t="shared" si="152"/>
        <v>134.08491212030398</v>
      </c>
      <c r="BH110" s="1">
        <f t="shared" si="153"/>
        <v>-24.864680140946518</v>
      </c>
      <c r="BI110" s="1">
        <f t="shared" si="154"/>
        <v>13.934031155202415</v>
      </c>
      <c r="BJ110" s="1">
        <f t="shared" si="169"/>
        <v>0.18933465151426199</v>
      </c>
      <c r="BK110" s="1">
        <f t="shared" si="155"/>
        <v>134.08491212030398</v>
      </c>
      <c r="BL110" s="1">
        <f t="shared" si="156"/>
        <v>-24.864680140946518</v>
      </c>
      <c r="BM110" s="1">
        <f t="shared" si="157"/>
        <v>13.934031155202415</v>
      </c>
    </row>
    <row r="111" spans="4:65" x14ac:dyDescent="0.25">
      <c r="D111" s="1">
        <v>1.4315792398713301</v>
      </c>
      <c r="E111" s="14">
        <v>5.7070804801730999</v>
      </c>
      <c r="F111" s="1">
        <v>7.9036843741824001E-2</v>
      </c>
      <c r="G111" s="1">
        <f t="shared" si="119"/>
        <v>0.67389637159167293</v>
      </c>
      <c r="H111" s="1">
        <f t="shared" si="120"/>
        <v>1.0507378812313917</v>
      </c>
      <c r="I111" s="1">
        <f t="shared" si="121"/>
        <v>0.32688306709354686</v>
      </c>
      <c r="J111" s="1">
        <f t="shared" si="158"/>
        <v>0.95363726697272166</v>
      </c>
      <c r="K111" s="1">
        <f t="shared" si="159"/>
        <v>0.77099698585034282</v>
      </c>
      <c r="L111" s="1">
        <f t="shared" si="160"/>
        <v>-0.36608134659834063</v>
      </c>
      <c r="M111" s="1">
        <f t="shared" si="122"/>
        <v>0.51739027584691932</v>
      </c>
      <c r="N111" s="1">
        <f t="shared" si="123"/>
        <v>0.70298429711821886</v>
      </c>
      <c r="O111" s="1">
        <f t="shared" si="124"/>
        <v>-0.24988031485568216</v>
      </c>
      <c r="P111" s="1">
        <f t="shared" si="125"/>
        <v>-0.10668431126909586</v>
      </c>
      <c r="Q111" s="16">
        <f t="shared" si="126"/>
        <v>53.834272038607658</v>
      </c>
      <c r="R111" s="1">
        <f t="shared" si="127"/>
        <v>23.15428940152206</v>
      </c>
      <c r="S111" s="1">
        <f t="shared" si="128"/>
        <v>10.677043591831154</v>
      </c>
      <c r="T111" s="1">
        <f t="shared" si="161"/>
        <v>7.9036843741824001E-2</v>
      </c>
      <c r="U111" s="1">
        <f t="shared" si="129"/>
        <v>53.834272038607658</v>
      </c>
      <c r="V111" s="1">
        <f t="shared" si="130"/>
        <v>23.15428940152206</v>
      </c>
      <c r="W111" s="1">
        <f t="shared" si="131"/>
        <v>10.677043591831154</v>
      </c>
      <c r="Y111" s="1">
        <v>1.7259916105694699</v>
      </c>
      <c r="Z111" s="1">
        <v>5.7063397516630996</v>
      </c>
      <c r="AA111" s="1">
        <v>9.1633702698538003E-2</v>
      </c>
      <c r="AB111" s="1">
        <f t="shared" si="132"/>
        <v>0.67566364293303627</v>
      </c>
      <c r="AC111" s="1">
        <f t="shared" si="133"/>
        <v>1.0657297066629443</v>
      </c>
      <c r="AD111" s="1">
        <f t="shared" si="134"/>
        <v>-0.36321746696182117</v>
      </c>
      <c r="AE111" s="1">
        <f t="shared" si="162"/>
        <v>0.94547221100753698</v>
      </c>
      <c r="AF111" s="1">
        <f t="shared" si="163"/>
        <v>0.7959211385884436</v>
      </c>
      <c r="AG111" s="1">
        <f t="shared" si="164"/>
        <v>0.40542993353867274</v>
      </c>
      <c r="AH111" s="1">
        <f t="shared" si="135"/>
        <v>0.5224180048787942</v>
      </c>
      <c r="AI111" s="1">
        <f t="shared" si="136"/>
        <v>-0.68596993098437964</v>
      </c>
      <c r="AJ111" s="1">
        <f t="shared" si="137"/>
        <v>-0.25230852151541816</v>
      </c>
      <c r="AK111" s="1">
        <f t="shared" si="138"/>
        <v>-0.13314920036206349</v>
      </c>
      <c r="AL111" s="1">
        <f t="shared" si="139"/>
        <v>60.589958167633682</v>
      </c>
      <c r="AM111" s="1">
        <f t="shared" si="140"/>
        <v>28.866387663942291</v>
      </c>
      <c r="AN111" s="1">
        <f t="shared" si="141"/>
        <v>-11.406506157091341</v>
      </c>
      <c r="AO111" s="1">
        <f t="shared" si="165"/>
        <v>9.1633702698538003E-2</v>
      </c>
      <c r="AP111" s="1">
        <f t="shared" si="142"/>
        <v>60.589958167633682</v>
      </c>
      <c r="AQ111" s="1">
        <f t="shared" si="143"/>
        <v>28.866387663942291</v>
      </c>
      <c r="AR111" s="1">
        <f t="shared" si="144"/>
        <v>-11.406506157091341</v>
      </c>
      <c r="AT111" s="1">
        <v>1.72650995143578</v>
      </c>
      <c r="AU111" s="1">
        <v>4.9290310673342104</v>
      </c>
      <c r="AV111" s="1">
        <v>0.169195245348917</v>
      </c>
      <c r="AW111" s="1">
        <f t="shared" si="145"/>
        <v>0.29955277495837862</v>
      </c>
      <c r="AX111" s="1">
        <f t="shared" si="146"/>
        <v>0.84082713455552449</v>
      </c>
      <c r="AY111" s="1">
        <f t="shared" si="147"/>
        <v>-0.29420099110348835</v>
      </c>
      <c r="AZ111" s="1">
        <f t="shared" si="166"/>
        <v>0.73766038512195498</v>
      </c>
      <c r="BA111" s="1">
        <f t="shared" si="167"/>
        <v>0.40271952439194825</v>
      </c>
      <c r="BB111" s="1">
        <f t="shared" si="168"/>
        <v>0.36297708083150443</v>
      </c>
      <c r="BC111" s="1">
        <f t="shared" si="148"/>
        <v>0.34211397285417094</v>
      </c>
      <c r="BD111" s="1">
        <f t="shared" si="149"/>
        <v>9.3945381454910284E-2</v>
      </c>
      <c r="BE111" s="1">
        <f t="shared" si="150"/>
        <v>0.33045672191420095</v>
      </c>
      <c r="BF111" s="1">
        <f t="shared" si="151"/>
        <v>0.10423148274726528</v>
      </c>
      <c r="BG111" s="1">
        <f t="shared" si="152"/>
        <v>58.570956794827318</v>
      </c>
      <c r="BH111" s="1">
        <f t="shared" si="153"/>
        <v>-2.5635427904851547</v>
      </c>
      <c r="BI111" s="1">
        <f t="shared" si="154"/>
        <v>-15.895111864661155</v>
      </c>
      <c r="BJ111" s="1">
        <f t="shared" si="169"/>
        <v>0.169195245348917</v>
      </c>
      <c r="BK111" s="1">
        <f t="shared" si="155"/>
        <v>58.570956794827318</v>
      </c>
      <c r="BL111" s="1">
        <f t="shared" si="156"/>
        <v>-2.5635427904851547</v>
      </c>
      <c r="BM111" s="1">
        <f t="shared" si="157"/>
        <v>-15.895111864661155</v>
      </c>
    </row>
    <row r="112" spans="4:65" x14ac:dyDescent="0.25">
      <c r="D112" s="1">
        <v>1.3133375467286099</v>
      </c>
      <c r="E112" s="14">
        <v>4.3162008861285397</v>
      </c>
      <c r="F112" s="1">
        <v>0.190391650265576</v>
      </c>
      <c r="G112" s="1">
        <f t="shared" si="119"/>
        <v>6.4696104072181931E-2</v>
      </c>
      <c r="H112" s="1">
        <f t="shared" si="120"/>
        <v>0.61981180653146417</v>
      </c>
      <c r="I112" s="1">
        <f t="shared" si="121"/>
        <v>0.23493845101681632</v>
      </c>
      <c r="J112" s="1">
        <f t="shared" si="158"/>
        <v>0.46812328449752727</v>
      </c>
      <c r="K112" s="1">
        <f t="shared" si="159"/>
        <v>0.21638462610611872</v>
      </c>
      <c r="L112" s="1">
        <f t="shared" si="160"/>
        <v>-0.34116176297061784</v>
      </c>
      <c r="M112" s="1">
        <f t="shared" si="122"/>
        <v>0.20535237318109381</v>
      </c>
      <c r="N112" s="1">
        <f t="shared" si="123"/>
        <v>0.30329359792392596</v>
      </c>
      <c r="O112" s="1">
        <f t="shared" si="124"/>
        <v>-9.9177580372684523E-2</v>
      </c>
      <c r="P112" s="1">
        <f t="shared" si="125"/>
        <v>-0.22938291463320376</v>
      </c>
      <c r="Q112" s="16">
        <f t="shared" si="126"/>
        <v>46.120562023798371</v>
      </c>
      <c r="R112" s="1">
        <f t="shared" si="127"/>
        <v>57.571161230854678</v>
      </c>
      <c r="S112" s="1">
        <f t="shared" si="128"/>
        <v>12.519487574616077</v>
      </c>
      <c r="T112" s="1">
        <f t="shared" si="161"/>
        <v>0</v>
      </c>
      <c r="U112" s="1">
        <f t="shared" si="129"/>
        <v>46.120562023798371</v>
      </c>
      <c r="V112" s="1">
        <f t="shared" si="130"/>
        <v>26.62771889961682</v>
      </c>
      <c r="W112" s="1">
        <f t="shared" si="131"/>
        <v>12.519487574616077</v>
      </c>
      <c r="Y112" s="1">
        <v>1.6763115373284601</v>
      </c>
      <c r="Z112" s="1">
        <v>4.7508696201212004</v>
      </c>
      <c r="AA112" s="1">
        <v>0.159925746935177</v>
      </c>
      <c r="AB112" s="1">
        <f t="shared" si="132"/>
        <v>0.20784091794652643</v>
      </c>
      <c r="AC112" s="1">
        <f t="shared" si="133"/>
        <v>0.68203102686815198</v>
      </c>
      <c r="AD112" s="1">
        <f t="shared" si="134"/>
        <v>-0.18017590602431943</v>
      </c>
      <c r="AE112" s="1">
        <f t="shared" si="162"/>
        <v>0.63903020424927759</v>
      </c>
      <c r="AF112" s="1">
        <f t="shared" si="163"/>
        <v>0.25084174056540076</v>
      </c>
      <c r="AG112" s="1">
        <f t="shared" si="164"/>
        <v>0.22584253613335997</v>
      </c>
      <c r="AH112" s="1">
        <f t="shared" si="135"/>
        <v>0.26696158344440352</v>
      </c>
      <c r="AI112" s="1">
        <f t="shared" si="136"/>
        <v>-0.47610683488985417</v>
      </c>
      <c r="AJ112" s="1">
        <f t="shared" si="137"/>
        <v>-0.12893254403798687</v>
      </c>
      <c r="AK112" s="1">
        <f t="shared" si="138"/>
        <v>-0.12399834378805928</v>
      </c>
      <c r="AL112" s="1">
        <f t="shared" si="139"/>
        <v>68.519807864562381</v>
      </c>
      <c r="AM112" s="1">
        <f t="shared" si="140"/>
        <v>38.889900206377369</v>
      </c>
      <c r="AN112" s="1">
        <f t="shared" si="141"/>
        <v>-20.213744245978212</v>
      </c>
      <c r="AO112" s="1">
        <f t="shared" si="165"/>
        <v>0.159925746935177</v>
      </c>
      <c r="AP112" s="1">
        <f t="shared" si="142"/>
        <v>68.519807864562381</v>
      </c>
      <c r="AQ112" s="1">
        <f t="shared" si="143"/>
        <v>38.889900206377369</v>
      </c>
      <c r="AR112" s="1">
        <f t="shared" si="144"/>
        <v>-20.213744245978212</v>
      </c>
      <c r="AT112" s="1">
        <v>1.5727001519975199</v>
      </c>
      <c r="AU112" s="1">
        <v>5.3641087243321</v>
      </c>
      <c r="AV112" s="1">
        <v>0.121026532904322</v>
      </c>
      <c r="AW112" s="1">
        <f t="shared" si="145"/>
        <v>0.4987899438463691</v>
      </c>
      <c r="AX112" s="1">
        <f t="shared" si="146"/>
        <v>0.90930308579369323</v>
      </c>
      <c r="AY112" s="1">
        <f t="shared" si="147"/>
        <v>-4.2621156656789333E-3</v>
      </c>
      <c r="AZ112" s="1">
        <f t="shared" si="166"/>
        <v>0.90928536926268988</v>
      </c>
      <c r="BA112" s="1">
        <f t="shared" si="167"/>
        <v>0.4988076603773724</v>
      </c>
      <c r="BB112" s="1">
        <f t="shared" si="168"/>
        <v>5.0436281463587728E-3</v>
      </c>
      <c r="BC112" s="1">
        <f t="shared" si="148"/>
        <v>0.42242790889201864</v>
      </c>
      <c r="BD112" s="1">
        <f t="shared" si="149"/>
        <v>1.3053870206925593E-3</v>
      </c>
      <c r="BE112" s="1">
        <f t="shared" si="150"/>
        <v>0.40803402694408636</v>
      </c>
      <c r="BF112" s="1">
        <f t="shared" si="151"/>
        <v>0.129100922348694</v>
      </c>
      <c r="BG112" s="1">
        <f t="shared" si="152"/>
        <v>51.744214225157101</v>
      </c>
      <c r="BH112" s="1">
        <f t="shared" si="153"/>
        <v>-2.3109941265915275</v>
      </c>
      <c r="BI112" s="1">
        <f t="shared" si="154"/>
        <v>-0.15798646521273499</v>
      </c>
      <c r="BJ112" s="1">
        <f t="shared" si="169"/>
        <v>0.121026532904322</v>
      </c>
      <c r="BK112" s="1">
        <f t="shared" si="155"/>
        <v>51.744214225157101</v>
      </c>
      <c r="BL112" s="1">
        <f t="shared" si="156"/>
        <v>-2.3109941265915275</v>
      </c>
      <c r="BM112" s="1">
        <f t="shared" si="157"/>
        <v>-0.15798646521273499</v>
      </c>
    </row>
    <row r="113" spans="4:65" x14ac:dyDescent="0.25">
      <c r="D113" s="1">
        <v>1.26323153570983</v>
      </c>
      <c r="E113" s="14">
        <v>4.5691076219002298</v>
      </c>
      <c r="F113" s="1">
        <v>0.20190263491409799</v>
      </c>
      <c r="G113" s="1">
        <f t="shared" si="119"/>
        <v>0.17573409898625914</v>
      </c>
      <c r="H113" s="1">
        <f t="shared" si="120"/>
        <v>0.968287045999499</v>
      </c>
      <c r="I113" s="1">
        <f t="shared" si="121"/>
        <v>0.42027457627329212</v>
      </c>
      <c r="J113" s="1">
        <f t="shared" si="158"/>
        <v>0.65312356593468568</v>
      </c>
      <c r="K113" s="1">
        <f t="shared" si="159"/>
        <v>0.49089757905107245</v>
      </c>
      <c r="L113" s="1">
        <f t="shared" si="160"/>
        <v>-0.57191471847771802</v>
      </c>
      <c r="M113" s="1">
        <f t="shared" si="122"/>
        <v>0.34320634349572737</v>
      </c>
      <c r="N113" s="1">
        <f t="shared" si="123"/>
        <v>0.3983260899432598</v>
      </c>
      <c r="O113" s="1">
        <f t="shared" si="124"/>
        <v>-0.16575593546438006</v>
      </c>
      <c r="P113" s="1">
        <f t="shared" si="125"/>
        <v>-0.35136234370109187</v>
      </c>
      <c r="Q113" s="16">
        <f t="shared" si="126"/>
        <v>65.077453458724293</v>
      </c>
      <c r="R113" s="1">
        <f t="shared" si="127"/>
        <v>90.880961017459441</v>
      </c>
      <c r="S113" s="1">
        <f t="shared" si="128"/>
        <v>11.228652313568146</v>
      </c>
      <c r="T113" s="1">
        <f t="shared" si="161"/>
        <v>0</v>
      </c>
      <c r="U113" s="1">
        <f t="shared" si="129"/>
        <v>65.077453458724293</v>
      </c>
      <c r="V113" s="1">
        <f t="shared" si="130"/>
        <v>37.572485272569807</v>
      </c>
      <c r="W113" s="1">
        <f t="shared" si="131"/>
        <v>11.228652313568146</v>
      </c>
      <c r="Y113" s="1">
        <v>1.74341475275406</v>
      </c>
      <c r="Z113" s="1">
        <v>4.2832247421214298</v>
      </c>
      <c r="AA113" s="1">
        <v>0.13409156574967501</v>
      </c>
      <c r="AB113" s="1">
        <f t="shared" si="132"/>
        <v>4.0620607023564986E-2</v>
      </c>
      <c r="AC113" s="1">
        <f t="shared" si="133"/>
        <v>0.3672670441044863</v>
      </c>
      <c r="AD113" s="1">
        <f t="shared" si="134"/>
        <v>-0.14789356954684771</v>
      </c>
      <c r="AE113" s="1">
        <f t="shared" si="162"/>
        <v>0.30758013323996919</v>
      </c>
      <c r="AF113" s="1">
        <f t="shared" si="163"/>
        <v>0.10030751788808209</v>
      </c>
      <c r="AG113" s="1">
        <f t="shared" si="164"/>
        <v>0.19443892963864134</v>
      </c>
      <c r="AH113" s="1">
        <f t="shared" si="135"/>
        <v>0.12236629533841537</v>
      </c>
      <c r="AI113" s="1">
        <f t="shared" si="136"/>
        <v>-0.20697129806125203</v>
      </c>
      <c r="AJ113" s="1">
        <f t="shared" si="137"/>
        <v>-5.909838246734557E-2</v>
      </c>
      <c r="AK113" s="1">
        <f t="shared" si="138"/>
        <v>-0.1366898387276545</v>
      </c>
      <c r="AL113" s="1">
        <f t="shared" si="139"/>
        <v>22.299327976443262</v>
      </c>
      <c r="AM113" s="1">
        <f t="shared" si="140"/>
        <v>24.950616925673025</v>
      </c>
      <c r="AN113" s="1">
        <f t="shared" si="141"/>
        <v>-7.0136524396593449</v>
      </c>
      <c r="AO113" s="1">
        <f t="shared" si="165"/>
        <v>0</v>
      </c>
      <c r="AP113" s="1">
        <f t="shared" si="142"/>
        <v>22.299327976443262</v>
      </c>
      <c r="AQ113" s="1">
        <f t="shared" si="143"/>
        <v>12.87452300994727</v>
      </c>
      <c r="AR113" s="1">
        <f t="shared" si="144"/>
        <v>-7.0136524396593449</v>
      </c>
      <c r="AT113" s="1">
        <v>1.29982795644577</v>
      </c>
      <c r="AU113" s="1">
        <v>4.3445026954181598</v>
      </c>
      <c r="AV113" s="1">
        <v>0.16949347574331</v>
      </c>
      <c r="AW113" s="1">
        <f t="shared" si="145"/>
        <v>7.7024896586459807E-2</v>
      </c>
      <c r="AX113" s="1">
        <f t="shared" si="146"/>
        <v>0.68782467049206231</v>
      </c>
      <c r="AY113" s="1">
        <f t="shared" si="147"/>
        <v>0.26302958806620991</v>
      </c>
      <c r="AZ113" s="1">
        <f t="shared" si="166"/>
        <v>0.50839466718434245</v>
      </c>
      <c r="BA113" s="1">
        <f t="shared" si="167"/>
        <v>0.25645489989417963</v>
      </c>
      <c r="BB113" s="1">
        <f t="shared" si="168"/>
        <v>-0.38286452377245461</v>
      </c>
      <c r="BC113" s="1">
        <f t="shared" si="148"/>
        <v>0.22945487012355659</v>
      </c>
      <c r="BD113" s="1">
        <f t="shared" si="149"/>
        <v>-9.9092630446418181E-2</v>
      </c>
      <c r="BE113" s="1">
        <f t="shared" si="150"/>
        <v>0.22163638502014726</v>
      </c>
      <c r="BF113" s="1">
        <f t="shared" si="151"/>
        <v>6.6375412302474221E-2</v>
      </c>
      <c r="BG113" s="1">
        <f t="shared" si="152"/>
        <v>39.19765937113177</v>
      </c>
      <c r="BH113" s="1">
        <f t="shared" si="153"/>
        <v>-1.1440822227489515</v>
      </c>
      <c r="BI113" s="1">
        <f t="shared" si="154"/>
        <v>16.795554354910756</v>
      </c>
      <c r="BJ113" s="1">
        <f t="shared" si="169"/>
        <v>0.16949347574331</v>
      </c>
      <c r="BK113" s="1">
        <f t="shared" si="155"/>
        <v>39.19765937113177</v>
      </c>
      <c r="BL113" s="1">
        <f t="shared" si="156"/>
        <v>-1.1440822227489515</v>
      </c>
      <c r="BM113" s="1">
        <f t="shared" si="157"/>
        <v>16.795554354910756</v>
      </c>
    </row>
    <row r="114" spans="4:65" x14ac:dyDescent="0.25">
      <c r="D114" s="1">
        <v>1.5408915681957001</v>
      </c>
      <c r="E114" s="14">
        <v>6.58721757442847</v>
      </c>
      <c r="F114" s="1">
        <v>0.18153051569069201</v>
      </c>
      <c r="G114" s="1">
        <f t="shared" si="119"/>
        <v>1.0446225671217058</v>
      </c>
      <c r="H114" s="1">
        <f t="shared" si="120"/>
        <v>1.0740462208408892</v>
      </c>
      <c r="I114" s="1">
        <f t="shared" si="121"/>
        <v>7.5102674892060586E-2</v>
      </c>
      <c r="J114" s="1">
        <f t="shared" si="158"/>
        <v>1.0695307380927153</v>
      </c>
      <c r="K114" s="1">
        <f t="shared" si="159"/>
        <v>1.0491380498698797</v>
      </c>
      <c r="L114" s="1">
        <f t="shared" si="160"/>
        <v>-7.584776985680404E-2</v>
      </c>
      <c r="M114" s="1">
        <f t="shared" si="122"/>
        <v>0.63560063638877851</v>
      </c>
      <c r="N114" s="1">
        <f t="shared" si="123"/>
        <v>0.875049052395794</v>
      </c>
      <c r="O114" s="1">
        <f t="shared" si="124"/>
        <v>-0.30697153494684415</v>
      </c>
      <c r="P114" s="1">
        <f t="shared" si="125"/>
        <v>0.20808901216067341</v>
      </c>
      <c r="Q114" s="16">
        <f t="shared" si="126"/>
        <v>169.56875570623168</v>
      </c>
      <c r="R114" s="1">
        <f t="shared" si="127"/>
        <v>6.3287651884217517</v>
      </c>
      <c r="S114" s="1">
        <f t="shared" si="128"/>
        <v>31.165046148002197</v>
      </c>
      <c r="T114" s="1">
        <f t="shared" si="161"/>
        <v>0.18153051569069201</v>
      </c>
      <c r="U114" s="1">
        <f t="shared" si="129"/>
        <v>169.56875570623168</v>
      </c>
      <c r="V114" s="1">
        <f t="shared" si="130"/>
        <v>6.3287651884217517</v>
      </c>
      <c r="W114" s="1">
        <f t="shared" si="131"/>
        <v>31.165046148002197</v>
      </c>
      <c r="Y114" s="1">
        <v>1.6611312332724599</v>
      </c>
      <c r="Z114" s="1">
        <v>5.6321939553196501</v>
      </c>
      <c r="AA114" s="1">
        <v>0.16536000891792299</v>
      </c>
      <c r="AB114" s="1">
        <f t="shared" si="132"/>
        <v>0.63336879988246486</v>
      </c>
      <c r="AC114" s="1">
        <f t="shared" si="133"/>
        <v>1.0010768699080206</v>
      </c>
      <c r="AD114" s="1">
        <f t="shared" si="134"/>
        <v>-0.21150214709475712</v>
      </c>
      <c r="AE114" s="1">
        <f t="shared" si="162"/>
        <v>0.960079871227427</v>
      </c>
      <c r="AF114" s="1">
        <f t="shared" si="163"/>
        <v>0.67436579856305845</v>
      </c>
      <c r="AG114" s="1">
        <f t="shared" si="164"/>
        <v>0.24109610446159638</v>
      </c>
      <c r="AH114" s="1">
        <f t="shared" si="135"/>
        <v>0.49033370093714562</v>
      </c>
      <c r="AI114" s="1">
        <f t="shared" si="136"/>
        <v>-0.74072220163754954</v>
      </c>
      <c r="AJ114" s="1">
        <f t="shared" si="137"/>
        <v>-0.23681299261754488</v>
      </c>
      <c r="AK114" s="1">
        <f t="shared" si="138"/>
        <v>-2.7142110115909307E-2</v>
      </c>
      <c r="AL114" s="1">
        <f t="shared" si="139"/>
        <v>120.21229416921132</v>
      </c>
      <c r="AM114" s="1">
        <f t="shared" si="140"/>
        <v>36.857333957050983</v>
      </c>
      <c r="AN114" s="1">
        <f t="shared" si="141"/>
        <v>-27.329880974736849</v>
      </c>
      <c r="AO114" s="1">
        <f t="shared" si="165"/>
        <v>0.16536000891792299</v>
      </c>
      <c r="AP114" s="1">
        <f t="shared" si="142"/>
        <v>120.21229416921132</v>
      </c>
      <c r="AQ114" s="1">
        <f t="shared" si="143"/>
        <v>36.857333957050983</v>
      </c>
      <c r="AR114" s="1">
        <f t="shared" si="144"/>
        <v>-27.329880974736849</v>
      </c>
      <c r="AT114" s="1">
        <v>1.3962311159682299</v>
      </c>
      <c r="AU114" s="1">
        <v>4.6717770808040298</v>
      </c>
      <c r="AV114" s="1">
        <v>0.13372132519723601</v>
      </c>
      <c r="AW114" s="1">
        <f t="shared" si="145"/>
        <v>0.18418804054750826</v>
      </c>
      <c r="AX114" s="1">
        <f t="shared" si="146"/>
        <v>0.72191875835803199</v>
      </c>
      <c r="AY114" s="1">
        <f t="shared" si="147"/>
        <v>0.27604471379270956</v>
      </c>
      <c r="AZ114" s="1">
        <f t="shared" si="166"/>
        <v>0.61126865289145593</v>
      </c>
      <c r="BA114" s="1">
        <f t="shared" si="167"/>
        <v>0.29483814601408426</v>
      </c>
      <c r="BB114" s="1">
        <f t="shared" si="168"/>
        <v>-0.35136476603593397</v>
      </c>
      <c r="BC114" s="1">
        <f t="shared" si="148"/>
        <v>0.27183203967166208</v>
      </c>
      <c r="BD114" s="1">
        <f t="shared" si="149"/>
        <v>-9.0939893228091179E-2</v>
      </c>
      <c r="BE114" s="1">
        <f t="shared" si="150"/>
        <v>0.26256958753169302</v>
      </c>
      <c r="BF114" s="1">
        <f t="shared" si="151"/>
        <v>7.6309727411162959E-2</v>
      </c>
      <c r="BG114" s="1">
        <f t="shared" si="152"/>
        <v>36.555820770630199</v>
      </c>
      <c r="BH114" s="1">
        <f t="shared" si="153"/>
        <v>-0.76910175693431837</v>
      </c>
      <c r="BI114" s="1">
        <f t="shared" si="154"/>
        <v>12.160603035755491</v>
      </c>
      <c r="BJ114" s="1">
        <f t="shared" si="169"/>
        <v>0.13372132519723601</v>
      </c>
      <c r="BK114" s="1">
        <f t="shared" si="155"/>
        <v>36.555820770630199</v>
      </c>
      <c r="BL114" s="1">
        <f t="shared" si="156"/>
        <v>-0.76910175693431837</v>
      </c>
      <c r="BM114" s="1">
        <f t="shared" si="157"/>
        <v>12.160603035755491</v>
      </c>
    </row>
    <row r="115" spans="4:65" x14ac:dyDescent="0.25">
      <c r="D115" s="1">
        <v>1.5085098408753601</v>
      </c>
      <c r="E115" s="14">
        <v>5.9840513246567903</v>
      </c>
      <c r="F115" s="1">
        <v>0.16728298208005099</v>
      </c>
      <c r="G115" s="1">
        <f t="shared" si="119"/>
        <v>0.79424285335612732</v>
      </c>
      <c r="H115" s="1">
        <f t="shared" si="120"/>
        <v>1.0398782667543749</v>
      </c>
      <c r="I115" s="1">
        <f t="shared" si="121"/>
        <v>0.15201983113283152</v>
      </c>
      <c r="J115" s="1">
        <f t="shared" si="158"/>
        <v>1.0200379098511483</v>
      </c>
      <c r="K115" s="1">
        <f t="shared" si="159"/>
        <v>0.8140832102593536</v>
      </c>
      <c r="L115" s="1">
        <f t="shared" si="160"/>
        <v>-0.16610202757793174</v>
      </c>
      <c r="M115" s="1">
        <f t="shared" si="122"/>
        <v>0.55023633603315059</v>
      </c>
      <c r="N115" s="1">
        <f t="shared" si="123"/>
        <v>0.81028797385380913</v>
      </c>
      <c r="O115" s="1">
        <f t="shared" si="124"/>
        <v>-0.26574374376854509</v>
      </c>
      <c r="P115" s="1">
        <f t="shared" si="125"/>
        <v>7.1753184960473615E-2</v>
      </c>
      <c r="Q115" s="16">
        <f t="shared" si="126"/>
        <v>137.96405734165134</v>
      </c>
      <c r="R115" s="1">
        <f t="shared" si="127"/>
        <v>24.540847941477601</v>
      </c>
      <c r="S115" s="1">
        <f t="shared" si="128"/>
        <v>29.275049462249427</v>
      </c>
      <c r="T115" s="1">
        <f t="shared" si="161"/>
        <v>0.16728298208005099</v>
      </c>
      <c r="U115" s="1">
        <f t="shared" si="129"/>
        <v>137.96405734165134</v>
      </c>
      <c r="V115" s="1">
        <f t="shared" si="130"/>
        <v>24.540847941477601</v>
      </c>
      <c r="W115" s="1">
        <f t="shared" si="131"/>
        <v>29.275049462249427</v>
      </c>
      <c r="Y115" s="1">
        <v>1.7120661879099599</v>
      </c>
      <c r="Z115" s="1">
        <v>5.5640794756899901</v>
      </c>
      <c r="AA115" s="1">
        <v>8.8435675683843001E-2</v>
      </c>
      <c r="AB115" s="1">
        <f t="shared" si="132"/>
        <v>0.60662197252010919</v>
      </c>
      <c r="AC115" s="1">
        <f t="shared" si="133"/>
        <v>1.0272827609767643</v>
      </c>
      <c r="AD115" s="1">
        <f t="shared" si="134"/>
        <v>-0.32467429131315406</v>
      </c>
      <c r="AE115" s="1">
        <f t="shared" si="162"/>
        <v>0.92842550669614354</v>
      </c>
      <c r="AF115" s="1">
        <f t="shared" si="163"/>
        <v>0.70547922680072972</v>
      </c>
      <c r="AG115" s="1">
        <f t="shared" si="164"/>
        <v>0.37044029106745591</v>
      </c>
      <c r="AH115" s="1">
        <f t="shared" si="135"/>
        <v>0.49017142004906195</v>
      </c>
      <c r="AI115" s="1">
        <f t="shared" si="136"/>
        <v>-0.68076607075578033</v>
      </c>
      <c r="AJ115" s="1">
        <f t="shared" si="137"/>
        <v>-0.23673461696708828</v>
      </c>
      <c r="AK115" s="1">
        <f t="shared" si="138"/>
        <v>-0.12728788321907628</v>
      </c>
      <c r="AL115" s="1">
        <f t="shared" si="139"/>
        <v>57.559370257545162</v>
      </c>
      <c r="AM115" s="1">
        <f t="shared" si="140"/>
        <v>27.076873289624952</v>
      </c>
      <c r="AN115" s="1">
        <f t="shared" si="141"/>
        <v>-11.971081365969406</v>
      </c>
      <c r="AO115" s="1">
        <f t="shared" si="165"/>
        <v>8.8435675683843001E-2</v>
      </c>
      <c r="AP115" s="1">
        <f t="shared" si="142"/>
        <v>57.559370257545162</v>
      </c>
      <c r="AQ115" s="1">
        <f t="shared" si="143"/>
        <v>27.076873289624952</v>
      </c>
      <c r="AR115" s="1">
        <f t="shared" si="144"/>
        <v>-11.971081365969406</v>
      </c>
      <c r="AT115" s="1">
        <v>1.5103368366124701</v>
      </c>
      <c r="AU115" s="1">
        <v>4.3605709703343001</v>
      </c>
      <c r="AV115" s="1">
        <v>0.15097920291000599</v>
      </c>
      <c r="AW115" s="1">
        <f t="shared" si="145"/>
        <v>5.1522554243611907E-2</v>
      </c>
      <c r="AX115" s="1">
        <f t="shared" si="146"/>
        <v>0.30098514709765745</v>
      </c>
      <c r="AY115" s="1">
        <f t="shared" si="147"/>
        <v>6.3692748583541292E-2</v>
      </c>
      <c r="AZ115" s="1">
        <f t="shared" si="166"/>
        <v>0.29239147679990457</v>
      </c>
      <c r="BA115" s="1">
        <f t="shared" si="167"/>
        <v>6.0116224541364796E-2</v>
      </c>
      <c r="BB115" s="1">
        <f t="shared" si="168"/>
        <v>-7.8273330883193881E-2</v>
      </c>
      <c r="BC115" s="1">
        <f t="shared" si="148"/>
        <v>0.1057523104023808</v>
      </c>
      <c r="BD115" s="1">
        <f t="shared" si="149"/>
        <v>-2.0258628756181955E-2</v>
      </c>
      <c r="BE115" s="1">
        <f t="shared" si="150"/>
        <v>0.10214888780739771</v>
      </c>
      <c r="BF115" s="1">
        <f t="shared" si="151"/>
        <v>1.5559223830964778E-2</v>
      </c>
      <c r="BG115" s="1">
        <f t="shared" si="152"/>
        <v>15.504850356644555</v>
      </c>
      <c r="BH115" s="1">
        <f t="shared" si="153"/>
        <v>1.7225249668071951</v>
      </c>
      <c r="BI115" s="1">
        <f t="shared" si="154"/>
        <v>3.058631621658074</v>
      </c>
      <c r="BJ115" s="1">
        <f t="shared" si="169"/>
        <v>0.15097920291000599</v>
      </c>
      <c r="BK115" s="1">
        <f t="shared" si="155"/>
        <v>15.504850356644555</v>
      </c>
      <c r="BL115" s="1">
        <f t="shared" si="156"/>
        <v>1.7225249668071951</v>
      </c>
      <c r="BM115" s="1">
        <f t="shared" si="157"/>
        <v>3.058631621658074</v>
      </c>
    </row>
    <row r="116" spans="4:65" x14ac:dyDescent="0.25">
      <c r="D116" s="1">
        <v>1.26406755704546</v>
      </c>
      <c r="E116" s="14">
        <v>5.4320212478163299</v>
      </c>
      <c r="F116" s="1">
        <v>0.161144259974314</v>
      </c>
      <c r="G116" s="1">
        <f t="shared" si="119"/>
        <v>0.58167748994065149</v>
      </c>
      <c r="H116" s="1">
        <f t="shared" si="120"/>
        <v>1.2523654190754703</v>
      </c>
      <c r="I116" s="1">
        <f t="shared" si="121"/>
        <v>0.65414651500762677</v>
      </c>
      <c r="J116" s="1">
        <f t="shared" si="158"/>
        <v>0.81462877141636647</v>
      </c>
      <c r="K116" s="1">
        <f t="shared" si="159"/>
        <v>1.0194141375997554</v>
      </c>
      <c r="L116" s="1">
        <f t="shared" si="160"/>
        <v>-0.72792786463886305</v>
      </c>
      <c r="M116" s="1">
        <f t="shared" si="122"/>
        <v>0.55021287270483654</v>
      </c>
      <c r="N116" s="1">
        <f t="shared" si="123"/>
        <v>0.49304865395434305</v>
      </c>
      <c r="O116" s="1">
        <f t="shared" si="124"/>
        <v>-0.26573241185115049</v>
      </c>
      <c r="P116" s="1">
        <f t="shared" si="125"/>
        <v>-0.34507973305787876</v>
      </c>
      <c r="Q116" s="16">
        <f t="shared" si="126"/>
        <v>72.751626677661719</v>
      </c>
      <c r="R116" s="1">
        <f t="shared" si="127"/>
        <v>77.062982204429332</v>
      </c>
      <c r="S116" s="1">
        <f t="shared" si="128"/>
        <v>2.6416874386802043</v>
      </c>
      <c r="T116" s="1">
        <f t="shared" si="161"/>
        <v>0</v>
      </c>
      <c r="U116" s="1">
        <f t="shared" si="129"/>
        <v>72.751626677661719</v>
      </c>
      <c r="V116" s="1">
        <f t="shared" si="130"/>
        <v>42.003171246331149</v>
      </c>
      <c r="W116" s="1">
        <f t="shared" si="131"/>
        <v>2.6416874386802043</v>
      </c>
      <c r="Y116" s="1">
        <v>1.84573325660438</v>
      </c>
      <c r="Z116" s="1">
        <v>5.5124159960523702</v>
      </c>
      <c r="AA116" s="1">
        <v>0.19574275745720199</v>
      </c>
      <c r="AB116" s="1">
        <f t="shared" si="132"/>
        <v>0.60980341672685057</v>
      </c>
      <c r="AC116" s="1">
        <f t="shared" si="133"/>
        <v>1.2032495917211548</v>
      </c>
      <c r="AD116" s="1">
        <f t="shared" si="134"/>
        <v>-0.60314403996932064</v>
      </c>
      <c r="AE116" s="1">
        <f t="shared" si="162"/>
        <v>0.84431895047473215</v>
      </c>
      <c r="AF116" s="1">
        <f t="shared" si="163"/>
        <v>0.96873405797327328</v>
      </c>
      <c r="AG116" s="1">
        <f t="shared" si="164"/>
        <v>0.66929630498075188</v>
      </c>
      <c r="AH116" s="1">
        <f t="shared" si="135"/>
        <v>0.54391590253440159</v>
      </c>
      <c r="AI116" s="1">
        <f t="shared" si="136"/>
        <v>-0.5330599370811443</v>
      </c>
      <c r="AJ116" s="1">
        <f t="shared" si="137"/>
        <v>-0.26269120879365332</v>
      </c>
      <c r="AK116" s="1">
        <f t="shared" si="138"/>
        <v>-0.30915044730493846</v>
      </c>
      <c r="AL116" s="1">
        <f t="shared" si="139"/>
        <v>96.456044303820065</v>
      </c>
      <c r="AM116" s="1">
        <f t="shared" si="140"/>
        <v>88.493981607337645</v>
      </c>
      <c r="AN116" s="1">
        <f t="shared" si="141"/>
        <v>-7.6403699682330721</v>
      </c>
      <c r="AO116" s="1">
        <f t="shared" si="165"/>
        <v>0</v>
      </c>
      <c r="AP116" s="1">
        <f t="shared" si="142"/>
        <v>96.456044303820065</v>
      </c>
      <c r="AQ116" s="1">
        <f t="shared" si="143"/>
        <v>55.688923143776982</v>
      </c>
      <c r="AR116" s="1">
        <f t="shared" si="144"/>
        <v>-7.6403699682330721</v>
      </c>
      <c r="AT116" s="1">
        <v>1.61234286516479</v>
      </c>
      <c r="AU116" s="1">
        <v>4.6799175582007804</v>
      </c>
      <c r="AV116" s="1">
        <v>0.15844185510466499</v>
      </c>
      <c r="AW116" s="1">
        <f t="shared" si="145"/>
        <v>0.17051645259116888</v>
      </c>
      <c r="AX116" s="1">
        <f t="shared" si="146"/>
        <v>0.58757267188324436</v>
      </c>
      <c r="AY116" s="1">
        <f t="shared" si="147"/>
        <v>-6.7453286019631492E-2</v>
      </c>
      <c r="AZ116" s="1">
        <f t="shared" si="166"/>
        <v>0.58125474556096446</v>
      </c>
      <c r="BA116" s="1">
        <f t="shared" si="167"/>
        <v>0.17683437891344878</v>
      </c>
      <c r="BB116" s="1">
        <f t="shared" si="168"/>
        <v>8.4527865627663873E-2</v>
      </c>
      <c r="BC116" s="1">
        <f t="shared" si="148"/>
        <v>0.22742673734232396</v>
      </c>
      <c r="BD116" s="1">
        <f t="shared" si="149"/>
        <v>2.1877421466306009E-2</v>
      </c>
      <c r="BE116" s="1">
        <f t="shared" si="150"/>
        <v>0.21967735918761119</v>
      </c>
      <c r="BF116" s="1">
        <f t="shared" si="151"/>
        <v>4.5768105091676121E-2</v>
      </c>
      <c r="BG116" s="1">
        <f t="shared" si="152"/>
        <v>35.496947525334996</v>
      </c>
      <c r="BH116" s="1">
        <f t="shared" si="153"/>
        <v>2.0039867808977831</v>
      </c>
      <c r="BI116" s="1">
        <f t="shared" si="154"/>
        <v>-3.4662992420281533</v>
      </c>
      <c r="BJ116" s="1">
        <f t="shared" si="169"/>
        <v>0.15844185510466499</v>
      </c>
      <c r="BK116" s="1">
        <f t="shared" si="155"/>
        <v>35.496947525334996</v>
      </c>
      <c r="BL116" s="1">
        <f t="shared" si="156"/>
        <v>2.0039867808977831</v>
      </c>
      <c r="BM116" s="1">
        <f t="shared" si="157"/>
        <v>-3.4662992420281533</v>
      </c>
    </row>
    <row r="117" spans="4:65" x14ac:dyDescent="0.25">
      <c r="D117" s="1">
        <v>1.25742822247272</v>
      </c>
      <c r="E117" s="14">
        <v>5.6502861123765999</v>
      </c>
      <c r="F117" s="1">
        <v>0.130898050914734</v>
      </c>
      <c r="G117" s="1">
        <f t="shared" si="119"/>
        <v>0.68322182907832707</v>
      </c>
      <c r="H117" s="1">
        <f t="shared" si="120"/>
        <v>1.2924191422183002</v>
      </c>
      <c r="I117" s="1">
        <f t="shared" si="121"/>
        <v>0.6921614083216302</v>
      </c>
      <c r="J117" s="1">
        <f t="shared" si="158"/>
        <v>0.82857325775193125</v>
      </c>
      <c r="K117" s="1">
        <f t="shared" si="159"/>
        <v>1.1470677135446961</v>
      </c>
      <c r="L117" s="1">
        <f t="shared" si="160"/>
        <v>-0.73926184614204238</v>
      </c>
      <c r="M117" s="1">
        <f t="shared" si="122"/>
        <v>0.59269229138898816</v>
      </c>
      <c r="N117" s="1">
        <f t="shared" si="123"/>
        <v>0.50177999385142957</v>
      </c>
      <c r="O117" s="1">
        <f t="shared" si="124"/>
        <v>-0.28624839564753468</v>
      </c>
      <c r="P117" s="1">
        <f t="shared" si="125"/>
        <v>-0.32152161674155932</v>
      </c>
      <c r="Q117" s="16">
        <f t="shared" si="126"/>
        <v>62.147591649925978</v>
      </c>
      <c r="R117" s="1">
        <f t="shared" si="127"/>
        <v>60.223602787560964</v>
      </c>
      <c r="S117" s="1">
        <f t="shared" si="128"/>
        <v>0.39159650745380875</v>
      </c>
      <c r="T117" s="1">
        <f t="shared" si="161"/>
        <v>0</v>
      </c>
      <c r="U117" s="1">
        <f t="shared" si="129"/>
        <v>62.147591649925978</v>
      </c>
      <c r="V117" s="1">
        <f t="shared" si="130"/>
        <v>35.8809287685717</v>
      </c>
      <c r="W117" s="1">
        <f t="shared" si="131"/>
        <v>0.39159650745380875</v>
      </c>
      <c r="Y117" s="1">
        <v>1.8917109304878701</v>
      </c>
      <c r="Z117" s="1">
        <v>5.3155710388725899</v>
      </c>
      <c r="AA117" s="1">
        <v>0.18305657287575799</v>
      </c>
      <c r="AB117" s="1">
        <f t="shared" si="132"/>
        <v>0.53177930343950908</v>
      </c>
      <c r="AC117" s="1">
        <f t="shared" si="133"/>
        <v>1.2636889069402932</v>
      </c>
      <c r="AD117" s="1">
        <f t="shared" si="134"/>
        <v>-0.66222767840052588</v>
      </c>
      <c r="AE117" s="1">
        <f t="shared" si="162"/>
        <v>0.79441433283876894</v>
      </c>
      <c r="AF117" s="1">
        <f t="shared" si="163"/>
        <v>1.0010538775410336</v>
      </c>
      <c r="AG117" s="1">
        <f t="shared" si="164"/>
        <v>0.74952881172455887</v>
      </c>
      <c r="AH117" s="1">
        <f t="shared" si="135"/>
        <v>0.53864046311394076</v>
      </c>
      <c r="AI117" s="1">
        <f t="shared" si="136"/>
        <v>-0.47054821001524605</v>
      </c>
      <c r="AJ117" s="1">
        <f t="shared" si="137"/>
        <v>-0.26014336720303005</v>
      </c>
      <c r="AK117" s="1">
        <f t="shared" si="138"/>
        <v>-0.36790126244747301</v>
      </c>
      <c r="AL117" s="1">
        <f t="shared" si="139"/>
        <v>77.623491192471889</v>
      </c>
      <c r="AM117" s="1">
        <f t="shared" si="140"/>
        <v>90.521631939564458</v>
      </c>
      <c r="AN117" s="1">
        <f t="shared" si="141"/>
        <v>-1.8275160765061367</v>
      </c>
      <c r="AO117" s="1">
        <f t="shared" si="165"/>
        <v>0</v>
      </c>
      <c r="AP117" s="1">
        <f t="shared" si="142"/>
        <v>77.623491192471889</v>
      </c>
      <c r="AQ117" s="1">
        <f t="shared" si="143"/>
        <v>44.815943535412188</v>
      </c>
      <c r="AR117" s="1">
        <f t="shared" si="144"/>
        <v>-1.8275160765061367</v>
      </c>
      <c r="AT117" s="1">
        <v>1.47816613438178</v>
      </c>
      <c r="AU117" s="1">
        <v>5.5512884257465496</v>
      </c>
      <c r="AV117" s="1">
        <v>0.14252338174492801</v>
      </c>
      <c r="AW117" s="1">
        <f t="shared" si="145"/>
        <v>0.59479736149727547</v>
      </c>
      <c r="AX117" s="1">
        <f t="shared" si="146"/>
        <v>0.98621976313044657</v>
      </c>
      <c r="AY117" s="1">
        <f t="shared" si="147"/>
        <v>0.21405501839589997</v>
      </c>
      <c r="AZ117" s="1">
        <f t="shared" si="166"/>
        <v>0.94344135288759801</v>
      </c>
      <c r="BA117" s="1">
        <f t="shared" si="167"/>
        <v>0.63757577174012425</v>
      </c>
      <c r="BB117" s="1">
        <f t="shared" si="168"/>
        <v>-0.24644266390555933</v>
      </c>
      <c r="BC117" s="1">
        <f t="shared" si="148"/>
        <v>0.47430513738831664</v>
      </c>
      <c r="BD117" s="1">
        <f t="shared" si="149"/>
        <v>-6.3784054944558535E-2</v>
      </c>
      <c r="BE117" s="1">
        <f t="shared" si="150"/>
        <v>0.45814358174495984</v>
      </c>
      <c r="BF117" s="1">
        <f t="shared" si="151"/>
        <v>0.16501675242228175</v>
      </c>
      <c r="BG117" s="1">
        <f t="shared" si="152"/>
        <v>69.158358745510199</v>
      </c>
      <c r="BH117" s="1">
        <f t="shared" si="153"/>
        <v>-5.8174707368648164</v>
      </c>
      <c r="BI117" s="1">
        <f t="shared" si="154"/>
        <v>9.0907192121027638</v>
      </c>
      <c r="BJ117" s="1">
        <f t="shared" si="169"/>
        <v>0.14252338174492801</v>
      </c>
      <c r="BK117" s="1">
        <f t="shared" si="155"/>
        <v>69.158358745510199</v>
      </c>
      <c r="BL117" s="1">
        <f t="shared" si="156"/>
        <v>-5.8174707368648164</v>
      </c>
      <c r="BM117" s="1">
        <f t="shared" si="157"/>
        <v>9.0907192121027638</v>
      </c>
    </row>
    <row r="118" spans="4:65" x14ac:dyDescent="0.25">
      <c r="D118" s="1">
        <v>1.42522616016697</v>
      </c>
      <c r="E118" s="14">
        <v>5.2694104780497302</v>
      </c>
      <c r="F118" s="1">
        <v>0.149990191407886</v>
      </c>
      <c r="G118" s="1">
        <f t="shared" si="119"/>
        <v>0.46418337563258899</v>
      </c>
      <c r="H118" s="1">
        <f t="shared" si="120"/>
        <v>0.95932964117804476</v>
      </c>
      <c r="I118" s="1">
        <f t="shared" si="121"/>
        <v>0.31366480637762212</v>
      </c>
      <c r="J118" s="1">
        <f t="shared" si="158"/>
        <v>0.85887522563651308</v>
      </c>
      <c r="K118" s="1">
        <f t="shared" si="159"/>
        <v>0.56463779117412083</v>
      </c>
      <c r="L118" s="1">
        <f t="shared" si="160"/>
        <v>-0.37152947375822187</v>
      </c>
      <c r="M118" s="1">
        <f t="shared" si="122"/>
        <v>0.42705390504319019</v>
      </c>
      <c r="N118" s="1">
        <f t="shared" si="123"/>
        <v>0.62230422549588671</v>
      </c>
      <c r="O118" s="1">
        <f t="shared" si="124"/>
        <v>-0.20625119804940831</v>
      </c>
      <c r="P118" s="1">
        <f t="shared" si="125"/>
        <v>-0.16465144817739824</v>
      </c>
      <c r="Q118" s="16">
        <f t="shared" si="126"/>
        <v>86.628991812039629</v>
      </c>
      <c r="R118" s="1">
        <f t="shared" si="127"/>
        <v>48.779454782482617</v>
      </c>
      <c r="S118" s="1">
        <f t="shared" si="128"/>
        <v>19.87870038599587</v>
      </c>
      <c r="T118" s="1">
        <f t="shared" si="161"/>
        <v>0.149990191407886</v>
      </c>
      <c r="U118" s="1">
        <f t="shared" si="129"/>
        <v>86.628991812039629</v>
      </c>
      <c r="V118" s="1">
        <f t="shared" si="130"/>
        <v>48.779454782482617</v>
      </c>
      <c r="W118" s="1">
        <f t="shared" si="131"/>
        <v>19.87870038599587</v>
      </c>
      <c r="Y118" s="1">
        <v>1.6984419648923701</v>
      </c>
      <c r="Z118" s="1">
        <v>6.8340350398401499</v>
      </c>
      <c r="AA118" s="1">
        <v>0.16596531992468899</v>
      </c>
      <c r="AB118" s="1">
        <f t="shared" si="132"/>
        <v>1.1370868824628912</v>
      </c>
      <c r="AC118" s="1">
        <f t="shared" si="133"/>
        <v>1.1199200928097093</v>
      </c>
      <c r="AD118" s="1">
        <f t="shared" si="134"/>
        <v>-0.3181230929064322</v>
      </c>
      <c r="AE118" s="1">
        <f t="shared" si="162"/>
        <v>1.0398635310395894</v>
      </c>
      <c r="AF118" s="1">
        <f t="shared" si="163"/>
        <v>1.2171434442330111</v>
      </c>
      <c r="AG118" s="1">
        <f t="shared" si="164"/>
        <v>0.30564511283780876</v>
      </c>
      <c r="AH118" s="1">
        <f t="shared" si="135"/>
        <v>0.67710209258178011</v>
      </c>
      <c r="AI118" s="1">
        <f t="shared" si="136"/>
        <v>-0.79075602113204835</v>
      </c>
      <c r="AJ118" s="1">
        <f t="shared" si="137"/>
        <v>-0.3270151991295569</v>
      </c>
      <c r="AK118" s="1">
        <f t="shared" si="138"/>
        <v>5.9342783942572253E-2</v>
      </c>
      <c r="AL118" s="1">
        <f t="shared" si="139"/>
        <v>138.54379285476929</v>
      </c>
      <c r="AM118" s="1">
        <f t="shared" si="140"/>
        <v>26.926423687442171</v>
      </c>
      <c r="AN118" s="1">
        <f t="shared" si="141"/>
        <v>-18.617083534050124</v>
      </c>
      <c r="AO118" s="1">
        <f t="shared" si="165"/>
        <v>0.16596531992468899</v>
      </c>
      <c r="AP118" s="1">
        <f t="shared" si="142"/>
        <v>138.54379285476929</v>
      </c>
      <c r="AQ118" s="1">
        <f t="shared" si="143"/>
        <v>26.926423687442171</v>
      </c>
      <c r="AR118" s="1">
        <f t="shared" si="144"/>
        <v>-18.617083534050124</v>
      </c>
      <c r="AT118" s="1">
        <v>1.38671550906007</v>
      </c>
      <c r="AU118" s="1">
        <v>5.2565058949277503</v>
      </c>
      <c r="AV118" s="1">
        <v>0.174800815903534</v>
      </c>
      <c r="AW118" s="1">
        <f t="shared" si="145"/>
        <v>0.46515185106688933</v>
      </c>
      <c r="AX118" s="1">
        <f t="shared" si="146"/>
        <v>1.0026648687958584</v>
      </c>
      <c r="AY118" s="1">
        <f t="shared" si="147"/>
        <v>0.39186519631170441</v>
      </c>
      <c r="AZ118" s="1">
        <f t="shared" si="166"/>
        <v>0.8436230202992282</v>
      </c>
      <c r="BA118" s="1">
        <f t="shared" si="167"/>
        <v>0.62419369956351956</v>
      </c>
      <c r="BB118" s="1">
        <f t="shared" si="168"/>
        <v>-0.46233222517774242</v>
      </c>
      <c r="BC118" s="1">
        <f t="shared" si="148"/>
        <v>0.4403450159588243</v>
      </c>
      <c r="BD118" s="1">
        <f t="shared" si="149"/>
        <v>-0.11966038504062708</v>
      </c>
      <c r="BE118" s="1">
        <f t="shared" si="150"/>
        <v>0.42534062339230033</v>
      </c>
      <c r="BF118" s="1">
        <f t="shared" si="151"/>
        <v>0.16155321728003996</v>
      </c>
      <c r="BG118" s="1">
        <f t="shared" si="152"/>
        <v>79.125432162310176</v>
      </c>
      <c r="BH118" s="1">
        <f t="shared" si="153"/>
        <v>-8.0342249742228695</v>
      </c>
      <c r="BI118" s="1">
        <f t="shared" si="154"/>
        <v>20.916732936432627</v>
      </c>
      <c r="BJ118" s="1">
        <f t="shared" si="169"/>
        <v>0.174800815903534</v>
      </c>
      <c r="BK118" s="1">
        <f t="shared" si="155"/>
        <v>79.125432162310176</v>
      </c>
      <c r="BL118" s="1">
        <f t="shared" si="156"/>
        <v>-8.0342249742228695</v>
      </c>
      <c r="BM118" s="1">
        <f t="shared" si="157"/>
        <v>20.916732936432627</v>
      </c>
    </row>
    <row r="119" spans="4:65" x14ac:dyDescent="0.25">
      <c r="D119" s="1">
        <v>1.3846512830291999</v>
      </c>
      <c r="E119" s="14">
        <v>5.4155698720311802</v>
      </c>
      <c r="F119" s="1">
        <v>0.102783630023304</v>
      </c>
      <c r="G119" s="1">
        <f t="shared" si="119"/>
        <v>0.54288545402434119</v>
      </c>
      <c r="H119" s="1">
        <f t="shared" si="120"/>
        <v>1.0462143137595743</v>
      </c>
      <c r="I119" s="1">
        <f t="shared" si="121"/>
        <v>0.41188369464034136</v>
      </c>
      <c r="J119" s="1">
        <f t="shared" si="158"/>
        <v>0.87915196125162165</v>
      </c>
      <c r="K119" s="1">
        <f t="shared" si="159"/>
        <v>0.70994780653229406</v>
      </c>
      <c r="L119" s="1">
        <f t="shared" si="160"/>
        <v>-0.47521116535451896</v>
      </c>
      <c r="M119" s="1">
        <f t="shared" si="122"/>
        <v>0.47672993033517463</v>
      </c>
      <c r="N119" s="1">
        <f t="shared" si="123"/>
        <v>0.61243124901093837</v>
      </c>
      <c r="O119" s="1">
        <f t="shared" si="124"/>
        <v>-0.23024287593786666</v>
      </c>
      <c r="P119" s="1">
        <f t="shared" si="125"/>
        <v>-0.21377387417798097</v>
      </c>
      <c r="Q119" s="16">
        <f t="shared" si="126"/>
        <v>58.39947389543191</v>
      </c>
      <c r="R119" s="1">
        <f t="shared" si="127"/>
        <v>38.395650940141905</v>
      </c>
      <c r="S119" s="1">
        <f t="shared" si="128"/>
        <v>10.979290304193112</v>
      </c>
      <c r="T119" s="1">
        <f t="shared" si="161"/>
        <v>0</v>
      </c>
      <c r="U119" s="1">
        <f t="shared" si="129"/>
        <v>58.39947389543191</v>
      </c>
      <c r="V119" s="1">
        <f t="shared" si="130"/>
        <v>33.716951974060137</v>
      </c>
      <c r="W119" s="1">
        <f t="shared" si="131"/>
        <v>10.979290304193112</v>
      </c>
      <c r="Y119" s="1">
        <v>1.66625092888586</v>
      </c>
      <c r="Z119" s="1">
        <v>7.59141732424834</v>
      </c>
      <c r="AA119" s="1">
        <v>0.11599107742751601</v>
      </c>
      <c r="AB119" s="1">
        <f t="shared" si="132"/>
        <v>1.3797430529162493</v>
      </c>
      <c r="AC119" s="1">
        <f t="shared" si="133"/>
        <v>1.0998630351591163</v>
      </c>
      <c r="AD119" s="1">
        <f t="shared" si="134"/>
        <v>-0.23741821980278713</v>
      </c>
      <c r="AE119" s="1">
        <f t="shared" si="162"/>
        <v>1.0573549476135624</v>
      </c>
      <c r="AF119" s="1">
        <f t="shared" si="163"/>
        <v>1.4222511404618032</v>
      </c>
      <c r="AG119" s="1">
        <f t="shared" si="164"/>
        <v>0.20655098472404501</v>
      </c>
      <c r="AH119" s="1">
        <f t="shared" si="135"/>
        <v>0.74388182642260969</v>
      </c>
      <c r="AI119" s="1">
        <f t="shared" si="136"/>
        <v>-0.83103532388531776</v>
      </c>
      <c r="AJ119" s="1">
        <f t="shared" si="137"/>
        <v>-0.35926733392434063</v>
      </c>
      <c r="AK119" s="1">
        <f t="shared" si="138"/>
        <v>0.19532241579553253</v>
      </c>
      <c r="AL119" s="1">
        <f t="shared" si="139"/>
        <v>106.62370259194364</v>
      </c>
      <c r="AM119" s="1">
        <f t="shared" si="140"/>
        <v>5.1148724900066904</v>
      </c>
      <c r="AN119" s="1">
        <f t="shared" si="141"/>
        <v>-12.107499420557861</v>
      </c>
      <c r="AO119" s="1">
        <f t="shared" si="165"/>
        <v>0.11599107742751601</v>
      </c>
      <c r="AP119" s="1">
        <f t="shared" si="142"/>
        <v>106.62370259194364</v>
      </c>
      <c r="AQ119" s="1">
        <f t="shared" si="143"/>
        <v>5.1148724900066904</v>
      </c>
      <c r="AR119" s="1">
        <f t="shared" si="144"/>
        <v>-12.107499420557861</v>
      </c>
      <c r="AT119" s="1">
        <v>1.6949952267684201</v>
      </c>
      <c r="AU119" s="1">
        <v>4.2865887708451504</v>
      </c>
      <c r="AV119" s="1">
        <v>9.368188241092E-2</v>
      </c>
      <c r="AW119" s="1">
        <f t="shared" si="145"/>
        <v>3.5951915517092758E-2</v>
      </c>
      <c r="AX119" s="1">
        <f t="shared" si="146"/>
        <v>0.28361424948182812</v>
      </c>
      <c r="AY119" s="1">
        <f t="shared" si="147"/>
        <v>-0.10846644557191557</v>
      </c>
      <c r="AZ119" s="1">
        <f t="shared" si="166"/>
        <v>0.25314695856103775</v>
      </c>
      <c r="BA119" s="1">
        <f t="shared" si="167"/>
        <v>6.6419206437883099E-2</v>
      </c>
      <c r="BB119" s="1">
        <f t="shared" si="168"/>
        <v>0.13558139392253929</v>
      </c>
      <c r="BC119" s="1">
        <f t="shared" si="148"/>
        <v>9.5869849499676266E-2</v>
      </c>
      <c r="BD119" s="1">
        <f t="shared" si="149"/>
        <v>3.5091046908700269E-2</v>
      </c>
      <c r="BE119" s="1">
        <f t="shared" si="150"/>
        <v>9.2603163594183413E-2</v>
      </c>
      <c r="BF119" s="1">
        <f t="shared" si="151"/>
        <v>1.7190555586720072E-2</v>
      </c>
      <c r="BG119" s="1">
        <f t="shared" si="152"/>
        <v>8.7964505694200827</v>
      </c>
      <c r="BH119" s="1">
        <f t="shared" si="153"/>
        <v>0.68974792006022345</v>
      </c>
      <c r="BI119" s="1">
        <f t="shared" si="154"/>
        <v>-3.2873953301769383</v>
      </c>
      <c r="BJ119" s="1">
        <f t="shared" si="169"/>
        <v>9.368188241092E-2</v>
      </c>
      <c r="BK119" s="1">
        <f t="shared" si="155"/>
        <v>8.7964505694200827</v>
      </c>
      <c r="BL119" s="1">
        <f t="shared" si="156"/>
        <v>0.68974792006022345</v>
      </c>
      <c r="BM119" s="1">
        <f t="shared" si="157"/>
        <v>-3.2873953301769383</v>
      </c>
    </row>
    <row r="120" spans="4:65" x14ac:dyDescent="0.25">
      <c r="D120" s="1">
        <v>1.4910683824867901</v>
      </c>
      <c r="E120" s="14">
        <v>7.1556453288746402</v>
      </c>
      <c r="F120" s="1">
        <v>0.147745915467966</v>
      </c>
      <c r="G120" s="1">
        <f t="shared" si="119"/>
        <v>1.2467272083967831</v>
      </c>
      <c r="H120" s="1">
        <f t="shared" si="120"/>
        <v>1.0970825920760332</v>
      </c>
      <c r="I120" s="1">
        <f t="shared" si="121"/>
        <v>0.19986833858713943</v>
      </c>
      <c r="J120" s="1">
        <f t="shared" si="158"/>
        <v>1.0662965020826995</v>
      </c>
      <c r="K120" s="1">
        <f t="shared" si="159"/>
        <v>1.2775132983901165</v>
      </c>
      <c r="L120" s="1">
        <f t="shared" si="160"/>
        <v>-0.18545241116641575</v>
      </c>
      <c r="M120" s="1">
        <f t="shared" si="122"/>
        <v>0.70314294014184486</v>
      </c>
      <c r="N120" s="1">
        <f t="shared" si="123"/>
        <v>0.84397579264072198</v>
      </c>
      <c r="O120" s="1">
        <f t="shared" si="124"/>
        <v>-0.33959196272791803</v>
      </c>
      <c r="P120" s="1">
        <f t="shared" si="125"/>
        <v>0.17551080648690734</v>
      </c>
      <c r="Q120" s="16">
        <f>(N120*nxa+O120*nya+P120*nza)*F120*1000</f>
        <v>135.25183730119335</v>
      </c>
      <c r="R120" s="1">
        <f t="shared" si="127"/>
        <v>9.3948689979549833</v>
      </c>
      <c r="S120" s="1">
        <f t="shared" si="128"/>
        <v>18.895613653228839</v>
      </c>
      <c r="T120" s="1">
        <f t="shared" si="161"/>
        <v>0.147745915467966</v>
      </c>
      <c r="U120" s="1">
        <f t="shared" si="129"/>
        <v>135.25183730119335</v>
      </c>
      <c r="V120" s="1">
        <f t="shared" si="130"/>
        <v>9.3948689979549833</v>
      </c>
      <c r="W120" s="1">
        <f t="shared" si="131"/>
        <v>18.895613653228839</v>
      </c>
      <c r="Y120" s="1">
        <v>1.6399331184530099</v>
      </c>
      <c r="Z120" s="1">
        <v>6.54199997094653</v>
      </c>
      <c r="AA120" s="1">
        <v>0.15812402064605299</v>
      </c>
      <c r="AB120" s="1">
        <f t="shared" si="132"/>
        <v>1.0276527030394642</v>
      </c>
      <c r="AC120" s="1">
        <f t="shared" si="133"/>
        <v>1.082677329690019</v>
      </c>
      <c r="AD120" s="1">
        <f t="shared" si="134"/>
        <v>-0.17302855214085858</v>
      </c>
      <c r="AE120" s="1">
        <f t="shared" si="162"/>
        <v>1.0585656259437779</v>
      </c>
      <c r="AF120" s="1">
        <f t="shared" si="163"/>
        <v>1.0517644067857053</v>
      </c>
      <c r="AG120" s="1">
        <f t="shared" si="164"/>
        <v>0.17516918420475963</v>
      </c>
      <c r="AH120" s="1">
        <f t="shared" si="135"/>
        <v>0.63309900981884504</v>
      </c>
      <c r="AI120" s="1">
        <f t="shared" si="136"/>
        <v>-0.84017028369112423</v>
      </c>
      <c r="AJ120" s="1">
        <f t="shared" si="137"/>
        <v>-0.30576334209102973</v>
      </c>
      <c r="AK120" s="1">
        <f t="shared" si="138"/>
        <v>0.12568478093736277</v>
      </c>
      <c r="AL120" s="1">
        <f>(AI120*nxb+AJ120*nyb+AK120*nzb)*AA120*1000</f>
        <v>139.62637379937453</v>
      </c>
      <c r="AM120" s="1">
        <f t="shared" si="140"/>
        <v>16.837920054930009</v>
      </c>
      <c r="AN120" s="1">
        <f t="shared" si="141"/>
        <v>-24.554497277430094</v>
      </c>
      <c r="AO120" s="1">
        <f t="shared" si="165"/>
        <v>0.15812402064605299</v>
      </c>
      <c r="AP120" s="1">
        <f t="shared" si="142"/>
        <v>139.62637379937453</v>
      </c>
      <c r="AQ120" s="1">
        <f t="shared" si="143"/>
        <v>16.837920054930009</v>
      </c>
      <c r="AR120" s="1">
        <f t="shared" si="144"/>
        <v>-24.554497277430094</v>
      </c>
      <c r="AT120" s="1">
        <v>1.7411486880336</v>
      </c>
      <c r="AU120" s="1">
        <v>4.4441577161667398</v>
      </c>
      <c r="AV120" s="1">
        <v>6.8994733320116006E-2</v>
      </c>
      <c r="AW120" s="1">
        <f t="shared" si="145"/>
        <v>9.1348668525369658E-2</v>
      </c>
      <c r="AX120" s="1">
        <f t="shared" si="146"/>
        <v>0.5324729997907367</v>
      </c>
      <c r="AY120" s="1">
        <f t="shared" si="147"/>
        <v>-0.2056948994880122</v>
      </c>
      <c r="AZ120" s="1">
        <f t="shared" si="166"/>
        <v>0.45106172109902526</v>
      </c>
      <c r="BA120" s="1">
        <f t="shared" si="167"/>
        <v>0.17275994721708104</v>
      </c>
      <c r="BB120" s="1">
        <f t="shared" si="168"/>
        <v>0.26757259061328303</v>
      </c>
      <c r="BC120" s="1">
        <f t="shared" si="148"/>
        <v>0.18714650049483189</v>
      </c>
      <c r="BD120" s="1">
        <f t="shared" si="149"/>
        <v>6.9252882398137511E-2</v>
      </c>
      <c r="BE120" s="1">
        <f t="shared" si="150"/>
        <v>0.18076963812757801</v>
      </c>
      <c r="BF120" s="1">
        <f t="shared" si="151"/>
        <v>4.4713564570686738E-2</v>
      </c>
      <c r="BG120" s="1">
        <f>(BD120*nxc+BE120*nyc+BF120*nzc)*AV120*1000</f>
        <v>12.845631542031255</v>
      </c>
      <c r="BH120" s="1">
        <f t="shared" si="153"/>
        <v>0.24814910169851845</v>
      </c>
      <c r="BI120" s="1">
        <f t="shared" si="154"/>
        <v>-4.778084152708856</v>
      </c>
      <c r="BJ120" s="1">
        <f t="shared" si="169"/>
        <v>6.8994733320116006E-2</v>
      </c>
      <c r="BK120" s="1">
        <f t="shared" si="155"/>
        <v>12.845631542031255</v>
      </c>
      <c r="BL120" s="1">
        <f t="shared" si="156"/>
        <v>0.24814910169851845</v>
      </c>
      <c r="BM120" s="1">
        <f t="shared" si="157"/>
        <v>-4.778084152708856</v>
      </c>
    </row>
    <row r="121" spans="4:65" x14ac:dyDescent="0.25">
      <c r="D121" s="1">
        <v>1.4898363194931199</v>
      </c>
      <c r="E121" s="14">
        <v>6.7151114540520798</v>
      </c>
      <c r="F121" s="1">
        <v>0.13682324793847001</v>
      </c>
      <c r="G121" s="1">
        <f t="shared" si="119"/>
        <v>1.0934884695152194</v>
      </c>
      <c r="H121" s="1">
        <f t="shared" si="120"/>
        <v>1.0928190765013346</v>
      </c>
      <c r="I121" s="1">
        <f t="shared" si="121"/>
        <v>0.20291779517046593</v>
      </c>
      <c r="J121" s="1">
        <f t="shared" si="158"/>
        <v>1.0601103862696608</v>
      </c>
      <c r="K121" s="1">
        <f t="shared" si="159"/>
        <v>1.1261971597468934</v>
      </c>
      <c r="L121" s="1">
        <f t="shared" si="160"/>
        <v>-0.20020958571316499</v>
      </c>
      <c r="M121" s="1">
        <f t="shared" si="122"/>
        <v>0.65589226380496612</v>
      </c>
      <c r="N121" s="1">
        <f t="shared" si="123"/>
        <v>0.83498156808170387</v>
      </c>
      <c r="O121" s="1">
        <f t="shared" si="124"/>
        <v>-0.31677163843620959</v>
      </c>
      <c r="P121" s="1">
        <f t="shared" si="125"/>
        <v>0.12400269086920734</v>
      </c>
      <c r="Q121" s="16">
        <f>(N121*nxa+O121*nya+P121*nza)*F121*1000</f>
        <v>120.89139931348465</v>
      </c>
      <c r="R121" s="1">
        <f t="shared" si="127"/>
        <v>14.827790316585221</v>
      </c>
      <c r="S121" s="1">
        <f t="shared" si="128"/>
        <v>19.587410660425114</v>
      </c>
      <c r="T121" s="1">
        <f t="shared" si="161"/>
        <v>0.13682324793847001</v>
      </c>
      <c r="U121" s="1">
        <f t="shared" si="129"/>
        <v>120.89139931348465</v>
      </c>
      <c r="V121" s="1">
        <f t="shared" si="130"/>
        <v>14.827790316585221</v>
      </c>
      <c r="W121" s="1">
        <f t="shared" si="131"/>
        <v>19.587410660425114</v>
      </c>
      <c r="Y121" s="1">
        <v>1.60126500721847</v>
      </c>
      <c r="Z121" s="1">
        <v>6.4298189656131202</v>
      </c>
      <c r="AA121" s="1">
        <v>0.13721119489945899</v>
      </c>
      <c r="AB121" s="1">
        <f t="shared" si="132"/>
        <v>0.98268893996568341</v>
      </c>
      <c r="AC121" s="1">
        <f t="shared" si="133"/>
        <v>1.067127528631318</v>
      </c>
      <c r="AD121" s="1">
        <f t="shared" si="134"/>
        <v>-7.623612112343392E-2</v>
      </c>
      <c r="AE121" s="1">
        <f t="shared" si="162"/>
        <v>1.0624064117181147</v>
      </c>
      <c r="AF121" s="1">
        <f t="shared" si="163"/>
        <v>0.9874100568788865</v>
      </c>
      <c r="AG121" s="1">
        <f t="shared" si="164"/>
        <v>7.8665759184762735E-2</v>
      </c>
      <c r="AH121" s="1">
        <f t="shared" si="135"/>
        <v>0.61494494057910032</v>
      </c>
      <c r="AI121" s="1">
        <f t="shared" si="136"/>
        <v>-0.86836008792331965</v>
      </c>
      <c r="AJ121" s="1">
        <f t="shared" si="137"/>
        <v>-0.296995599925575</v>
      </c>
      <c r="AK121" s="1">
        <f t="shared" si="138"/>
        <v>0.18975533794205288</v>
      </c>
      <c r="AL121" s="1">
        <f>(AI121*nxb+AJ121*nyb+AK121*nzb)*AA121*1000</f>
        <v>126.0898881696782</v>
      </c>
      <c r="AM121" s="1">
        <f t="shared" si="140"/>
        <v>6.83065678130599</v>
      </c>
      <c r="AN121" s="1">
        <f t="shared" si="141"/>
        <v>-24.282856488631758</v>
      </c>
      <c r="AO121" s="1">
        <f t="shared" si="165"/>
        <v>0.13721119489945899</v>
      </c>
      <c r="AP121" s="1">
        <f t="shared" si="142"/>
        <v>126.0898881696782</v>
      </c>
      <c r="AQ121" s="1">
        <f t="shared" si="143"/>
        <v>6.83065678130599</v>
      </c>
      <c r="AR121" s="1">
        <f t="shared" si="144"/>
        <v>-24.282856488631758</v>
      </c>
      <c r="AT121" s="1">
        <v>1.4971679472605299</v>
      </c>
      <c r="AU121" s="1">
        <v>6.6772541716241696</v>
      </c>
      <c r="AV121" s="1">
        <v>0.101854073011673</v>
      </c>
      <c r="AW121" s="1">
        <f t="shared" si="145"/>
        <v>1.0793073185034496</v>
      </c>
      <c r="AX121" s="1">
        <f t="shared" si="146"/>
        <v>1.0888855104714528</v>
      </c>
      <c r="AY121" s="1">
        <f t="shared" si="147"/>
        <v>0.18460263953852249</v>
      </c>
      <c r="AZ121" s="1">
        <f t="shared" si="166"/>
        <v>1.0617478320842861</v>
      </c>
      <c r="BA121" s="1">
        <f t="shared" si="167"/>
        <v>1.1064449968906167</v>
      </c>
      <c r="BB121" s="1">
        <f t="shared" si="168"/>
        <v>-0.1833074216432673</v>
      </c>
      <c r="BC121" s="1">
        <f t="shared" si="148"/>
        <v>0.65045784869247081</v>
      </c>
      <c r="BD121" s="1">
        <f t="shared" si="149"/>
        <v>-4.7443451829915835E-2</v>
      </c>
      <c r="BE121" s="1">
        <f t="shared" si="150"/>
        <v>0.62829403496448466</v>
      </c>
      <c r="BF121" s="1">
        <f t="shared" si="151"/>
        <v>0.28636903755369097</v>
      </c>
      <c r="BG121" s="1">
        <f>(BD121*nxc+BE121*nyc+BF121*nzc)*AV121*1000</f>
        <v>69.362949218265143</v>
      </c>
      <c r="BH121" s="1">
        <f t="shared" si="153"/>
        <v>-11.611037071239627</v>
      </c>
      <c r="BI121" s="1">
        <f t="shared" si="154"/>
        <v>4.8323088066100235</v>
      </c>
      <c r="BJ121" s="1">
        <f t="shared" si="169"/>
        <v>0.101854073011673</v>
      </c>
      <c r="BK121" s="1">
        <f t="shared" si="155"/>
        <v>69.362949218265143</v>
      </c>
      <c r="BL121" s="1">
        <f t="shared" si="156"/>
        <v>-11.611037071239627</v>
      </c>
      <c r="BM121" s="1">
        <f t="shared" si="157"/>
        <v>4.8323088066100235</v>
      </c>
    </row>
    <row r="122" spans="4:65" x14ac:dyDescent="0.25">
      <c r="Y122" s="1">
        <v>1.649829393738</v>
      </c>
      <c r="Z122" s="1">
        <v>7.2887508269939296</v>
      </c>
      <c r="AA122" s="1">
        <v>0.147590991962046</v>
      </c>
      <c r="AB122" s="1">
        <f t="shared" si="132"/>
        <v>1.2893682724696363</v>
      </c>
      <c r="AC122" s="1">
        <f t="shared" si="133"/>
        <v>1.0963958815922332</v>
      </c>
      <c r="AD122" s="1">
        <f t="shared" si="134"/>
        <v>-0.19787341857889457</v>
      </c>
      <c r="AE122" s="1">
        <f t="shared" si="162"/>
        <v>1.0664517167666059</v>
      </c>
      <c r="AF122" s="1">
        <f t="shared" si="163"/>
        <v>1.3193124372952636</v>
      </c>
      <c r="AG122" s="1">
        <f t="shared" si="164"/>
        <v>0.1802188660872267</v>
      </c>
      <c r="AH122" s="1">
        <f t="shared" si="135"/>
        <v>0.71572924621856082</v>
      </c>
      <c r="AI122" s="1">
        <f t="shared" si="136"/>
        <v>-0.84546017339428536</v>
      </c>
      <c r="AJ122" s="1">
        <f t="shared" si="137"/>
        <v>-0.34567068177645799</v>
      </c>
      <c r="AK122" s="1">
        <f t="shared" si="138"/>
        <v>0.19070716548953359</v>
      </c>
      <c r="AL122" s="1">
        <f>(AI122*nxb+AJ122*nyb+AK122*nzb)*AA122*1000</f>
        <v>136.30706806804019</v>
      </c>
      <c r="AM122" s="1">
        <f t="shared" si="140"/>
        <v>7.3838024360782635</v>
      </c>
      <c r="AN122" s="1">
        <f t="shared" si="141"/>
        <v>-18.208373726341222</v>
      </c>
      <c r="AO122" s="1">
        <f t="shared" si="165"/>
        <v>0.147590991962046</v>
      </c>
      <c r="AP122" s="1">
        <f t="shared" si="142"/>
        <v>136.30706806804019</v>
      </c>
      <c r="AQ122" s="1">
        <f t="shared" si="143"/>
        <v>7.3838024360782635</v>
      </c>
      <c r="AR122" s="1">
        <f t="shared" si="144"/>
        <v>-18.208373726341222</v>
      </c>
      <c r="AT122" s="1">
        <v>1.51858260914146</v>
      </c>
      <c r="AU122" s="1">
        <v>6.3866113546796797</v>
      </c>
      <c r="AV122" s="1">
        <v>0.117404510004556</v>
      </c>
      <c r="AW122" s="1">
        <f t="shared" si="145"/>
        <v>0.96559463967049508</v>
      </c>
      <c r="AX122" s="1">
        <f t="shared" si="146"/>
        <v>1.0697230236110842</v>
      </c>
      <c r="AY122" s="1">
        <f t="shared" si="147"/>
        <v>0.13031326752759609</v>
      </c>
      <c r="AZ122" s="1">
        <f t="shared" si="166"/>
        <v>1.0558558386226606</v>
      </c>
      <c r="BA122" s="1">
        <f t="shared" si="167"/>
        <v>0.97946182465891884</v>
      </c>
      <c r="BB122" s="1">
        <f t="shared" si="168"/>
        <v>-0.13503042781856772</v>
      </c>
      <c r="BC122" s="1">
        <f t="shared" si="148"/>
        <v>0.61059529898447384</v>
      </c>
      <c r="BD122" s="1">
        <f t="shared" si="149"/>
        <v>-3.4948446387786797E-2</v>
      </c>
      <c r="BE122" s="1">
        <f t="shared" si="150"/>
        <v>0.5897897686997986</v>
      </c>
      <c r="BF122" s="1">
        <f t="shared" si="151"/>
        <v>0.25350337417259405</v>
      </c>
      <c r="BG122" s="1">
        <f>(BD122*nxc+BE122*nyc+BF122*nzc)*AV122*1000</f>
        <v>74.587633590832624</v>
      </c>
      <c r="BH122" s="1">
        <f t="shared" si="153"/>
        <v>-10.826648425972804</v>
      </c>
      <c r="BI122" s="1">
        <f t="shared" si="154"/>
        <v>4.103105223578587</v>
      </c>
      <c r="BJ122" s="1">
        <f t="shared" si="169"/>
        <v>0.117404510004556</v>
      </c>
      <c r="BK122" s="1">
        <f t="shared" si="155"/>
        <v>74.587633590832624</v>
      </c>
      <c r="BL122" s="1">
        <f t="shared" si="156"/>
        <v>-10.826648425972804</v>
      </c>
      <c r="BM122" s="1">
        <f t="shared" si="157"/>
        <v>4.103105223578587</v>
      </c>
    </row>
    <row r="123" spans="4:65" x14ac:dyDescent="0.25">
      <c r="Y123" s="1">
        <v>1.6765101800337301</v>
      </c>
      <c r="Z123" s="1">
        <v>7.1369716680645103</v>
      </c>
      <c r="AA123" s="1">
        <v>0.105004436698408</v>
      </c>
      <c r="AB123" s="1">
        <f t="shared" si="132"/>
        <v>1.240256759532512</v>
      </c>
      <c r="AC123" s="1">
        <f t="shared" si="133"/>
        <v>1.1088192152060128</v>
      </c>
      <c r="AD123" s="1">
        <f t="shared" si="134"/>
        <v>-0.26419891245762628</v>
      </c>
      <c r="AE123" s="1">
        <f t="shared" si="162"/>
        <v>1.0548388868409715</v>
      </c>
      <c r="AF123" s="1">
        <f t="shared" si="163"/>
        <v>1.2942370878975533</v>
      </c>
      <c r="AG123" s="1">
        <f t="shared" si="164"/>
        <v>0.24452432944628577</v>
      </c>
      <c r="AH123" s="1">
        <f t="shared" si="135"/>
        <v>0.70472279242155733</v>
      </c>
      <c r="AI123" s="1">
        <f t="shared" si="136"/>
        <v>-0.81910237320749113</v>
      </c>
      <c r="AJ123" s="1">
        <f t="shared" si="137"/>
        <v>-0.34035497278726645</v>
      </c>
      <c r="AK123" s="1">
        <f t="shared" si="138"/>
        <v>0.13042461898353902</v>
      </c>
      <c r="AL123" s="1">
        <f>(AI123*nxb+AJ123*nyb+AK123*nzb)*AA123*1000</f>
        <v>92.753326941399322</v>
      </c>
      <c r="AM123" s="1">
        <f t="shared" si="140"/>
        <v>10.674902337685396</v>
      </c>
      <c r="AN123" s="1">
        <f t="shared" si="141"/>
        <v>-12.053998367276924</v>
      </c>
      <c r="AO123" s="1">
        <f t="shared" si="165"/>
        <v>0.105004436698408</v>
      </c>
      <c r="AP123" s="1">
        <f t="shared" si="142"/>
        <v>92.753326941399322</v>
      </c>
      <c r="AQ123" s="1">
        <f t="shared" si="143"/>
        <v>10.674902337685396</v>
      </c>
      <c r="AR123" s="1">
        <f t="shared" si="144"/>
        <v>-12.053998367276924</v>
      </c>
      <c r="AT123" s="1">
        <v>1.7262690720282901</v>
      </c>
      <c r="AU123" s="1">
        <v>5.56645189987713</v>
      </c>
      <c r="AV123" s="1">
        <v>0.18299966123933301</v>
      </c>
      <c r="AW123" s="1">
        <f t="shared" si="145"/>
        <v>0.60983928845700452</v>
      </c>
      <c r="AX123" s="1">
        <f t="shared" si="146"/>
        <v>1.0418761990993579</v>
      </c>
      <c r="AY123" s="1">
        <f t="shared" si="147"/>
        <v>-0.35644768083958978</v>
      </c>
      <c r="AZ123" s="1">
        <f t="shared" si="166"/>
        <v>0.92245862406771073</v>
      </c>
      <c r="BA123" s="1">
        <f t="shared" si="167"/>
        <v>0.72925686348865193</v>
      </c>
      <c r="BB123" s="1">
        <f t="shared" si="168"/>
        <v>0.40544690422120289</v>
      </c>
      <c r="BC123" s="1">
        <f t="shared" si="148"/>
        <v>0.49551464626690878</v>
      </c>
      <c r="BD123" s="1">
        <f t="shared" si="149"/>
        <v>0.10493738059030469</v>
      </c>
      <c r="BE123" s="1">
        <f t="shared" si="150"/>
        <v>0.47863039413369923</v>
      </c>
      <c r="BF123" s="1">
        <f t="shared" si="151"/>
        <v>0.18874556504259213</v>
      </c>
      <c r="BG123" s="1">
        <f>(BD123*nxc+BE123*nyc+BF123*nzc)*AV123*1000</f>
        <v>93.544377105868534</v>
      </c>
      <c r="BH123" s="1">
        <f t="shared" si="153"/>
        <v>-10.693686642227384</v>
      </c>
      <c r="BI123" s="1">
        <f t="shared" si="154"/>
        <v>-19.203505099368737</v>
      </c>
      <c r="BJ123" s="1">
        <f t="shared" si="169"/>
        <v>0.18299966123933301</v>
      </c>
      <c r="BK123" s="1">
        <f t="shared" si="155"/>
        <v>93.544377105868534</v>
      </c>
      <c r="BL123" s="1">
        <f t="shared" si="156"/>
        <v>-10.693686642227384</v>
      </c>
      <c r="BM123" s="1">
        <f t="shared" si="157"/>
        <v>-19.203505099368737</v>
      </c>
    </row>
    <row r="124" spans="4:65" x14ac:dyDescent="0.25">
      <c r="AT124" s="1">
        <v>1.62724346388719</v>
      </c>
      <c r="AU124" s="1">
        <v>5.2612310783568601</v>
      </c>
      <c r="AV124" s="1">
        <v>0.14799089782539701</v>
      </c>
      <c r="AW124" s="1">
        <f t="shared" si="145"/>
        <v>0.44970930239355705</v>
      </c>
      <c r="AX124" s="1">
        <f t="shared" si="146"/>
        <v>0.889272004441791</v>
      </c>
      <c r="AY124" s="1">
        <f t="shared" si="147"/>
        <v>-0.12282279617403137</v>
      </c>
      <c r="AZ124" s="1">
        <f t="shared" si="166"/>
        <v>0.87403636656679862</v>
      </c>
      <c r="BA124" s="1">
        <f t="shared" si="167"/>
        <v>0.4649449402685496</v>
      </c>
      <c r="BB124" s="1">
        <f t="shared" si="168"/>
        <v>0.14680031590671003</v>
      </c>
      <c r="BC124" s="1">
        <f t="shared" si="148"/>
        <v>0.40169439205060448</v>
      </c>
      <c r="BD124" s="1">
        <f t="shared" si="149"/>
        <v>3.7994717583722866E-2</v>
      </c>
      <c r="BE124" s="1">
        <f t="shared" si="150"/>
        <v>0.38800698755716506</v>
      </c>
      <c r="BF124" s="1">
        <f t="shared" si="151"/>
        <v>0.12033660546555451</v>
      </c>
      <c r="BG124" s="1">
        <f>(BD124*nxc+BE124*nyc+BF124*nzc)*AV124*1000</f>
        <v>60.074148697919426</v>
      </c>
      <c r="BH124" s="1">
        <f t="shared" si="153"/>
        <v>-2.340126354680562</v>
      </c>
      <c r="BI124" s="1">
        <f t="shared" si="154"/>
        <v>-5.6228723678375596</v>
      </c>
      <c r="BJ124" s="1">
        <f t="shared" si="169"/>
        <v>0.14799089782539701</v>
      </c>
      <c r="BK124" s="1">
        <f t="shared" si="155"/>
        <v>60.074148697919426</v>
      </c>
      <c r="BL124" s="1">
        <f t="shared" si="156"/>
        <v>-2.340126354680562</v>
      </c>
      <c r="BM124" s="1">
        <f t="shared" si="157"/>
        <v>-5.6228723678375596</v>
      </c>
    </row>
  </sheetData>
  <mergeCells count="26">
    <mergeCell ref="BP29:BY29"/>
    <mergeCell ref="BP44:BX44"/>
    <mergeCell ref="BP42:CD42"/>
    <mergeCell ref="BP1:CC1"/>
    <mergeCell ref="BP3:BY3"/>
    <mergeCell ref="T21:W21"/>
    <mergeCell ref="AO21:AR21"/>
    <mergeCell ref="BJ21:BM21"/>
    <mergeCell ref="BP16:BY16"/>
    <mergeCell ref="AT21:AV21"/>
    <mergeCell ref="AW21:AY21"/>
    <mergeCell ref="AZ21:BC21"/>
    <mergeCell ref="BD21:BF21"/>
    <mergeCell ref="BH21:BI21"/>
    <mergeCell ref="Y21:AA21"/>
    <mergeCell ref="AB21:AD21"/>
    <mergeCell ref="AE21:AH21"/>
    <mergeCell ref="AI21:AK21"/>
    <mergeCell ref="AM21:AN21"/>
    <mergeCell ref="N21:P21"/>
    <mergeCell ref="A14:B14"/>
    <mergeCell ref="R21:S21"/>
    <mergeCell ref="A21:C21"/>
    <mergeCell ref="D21:F21"/>
    <mergeCell ref="G21:I21"/>
    <mergeCell ref="J21:M21"/>
  </mergeCells>
  <phoneticPr fontId="3" type="noConversion"/>
  <dataValidations count="1">
    <dataValidation type="list" allowBlank="1" showInputMessage="1" showErrorMessage="1" sqref="C14" xr:uid="{DF4AD700-53F7-42AB-A25E-3185D2A5F08C}">
      <formula1>"0,1"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BCA7-EAAF-47DF-8EC0-CEE9D08CE859}">
  <dimension ref="A4:R30"/>
  <sheetViews>
    <sheetView workbookViewId="0">
      <selection activeCell="E2" sqref="E2"/>
    </sheetView>
  </sheetViews>
  <sheetFormatPr defaultRowHeight="15" x14ac:dyDescent="0.25"/>
  <cols>
    <col min="2" max="2" width="8.5703125" bestFit="1" customWidth="1"/>
    <col min="3" max="5" width="11.5703125" bestFit="1" customWidth="1"/>
    <col min="10" max="10" width="11.5703125" bestFit="1" customWidth="1"/>
    <col min="13" max="13" width="8.5703125" bestFit="1" customWidth="1"/>
    <col min="14" max="14" width="11.5703125" bestFit="1" customWidth="1"/>
    <col min="17" max="17" width="8.5703125" bestFit="1" customWidth="1"/>
    <col min="18" max="18" width="11.5703125" bestFit="1" customWidth="1"/>
  </cols>
  <sheetData>
    <row r="4" spans="1:18" x14ac:dyDescent="0.25">
      <c r="A4" t="s">
        <v>4</v>
      </c>
      <c r="B4" t="s">
        <v>320</v>
      </c>
      <c r="C4" t="s">
        <v>321</v>
      </c>
      <c r="D4" t="s">
        <v>322</v>
      </c>
      <c r="E4" t="s">
        <v>322</v>
      </c>
      <c r="H4" t="s">
        <v>323</v>
      </c>
      <c r="I4" t="s">
        <v>320</v>
      </c>
      <c r="J4" t="s">
        <v>321</v>
      </c>
      <c r="L4" t="s">
        <v>325</v>
      </c>
      <c r="M4" t="s">
        <v>320</v>
      </c>
      <c r="N4" t="s">
        <v>321</v>
      </c>
      <c r="P4" t="s">
        <v>6</v>
      </c>
      <c r="Q4" t="s">
        <v>320</v>
      </c>
      <c r="R4" t="s">
        <v>321</v>
      </c>
    </row>
    <row r="5" spans="1:18" x14ac:dyDescent="0.25">
      <c r="A5">
        <v>15</v>
      </c>
      <c r="B5">
        <v>0.93100000000000005</v>
      </c>
      <c r="C5" s="1">
        <v>0.91234548709040963</v>
      </c>
      <c r="D5" s="1">
        <v>0</v>
      </c>
      <c r="E5" s="1">
        <v>0</v>
      </c>
      <c r="H5">
        <v>0</v>
      </c>
      <c r="I5">
        <v>2.0059999999999998</v>
      </c>
      <c r="J5" s="1">
        <v>1.9790695424253273</v>
      </c>
      <c r="L5">
        <v>0</v>
      </c>
      <c r="M5">
        <v>2.0059999999999998</v>
      </c>
      <c r="N5" s="1">
        <v>1.9790695424253273</v>
      </c>
      <c r="P5">
        <v>0</v>
      </c>
      <c r="Q5">
        <v>2.0059999999999998</v>
      </c>
      <c r="R5" s="1">
        <v>1.93614707326791</v>
      </c>
    </row>
    <row r="6" spans="1:18" x14ac:dyDescent="0.25">
      <c r="A6">
        <v>16</v>
      </c>
      <c r="B6">
        <v>0.996</v>
      </c>
      <c r="C6" s="1">
        <v>0.97686237244163976</v>
      </c>
      <c r="D6" s="1">
        <v>0</v>
      </c>
      <c r="E6" s="1">
        <v>0</v>
      </c>
      <c r="H6">
        <v>50</v>
      </c>
      <c r="I6">
        <v>2.2789999999999999</v>
      </c>
      <c r="J6" s="1">
        <v>2.2515702309167405</v>
      </c>
      <c r="L6">
        <v>1</v>
      </c>
      <c r="M6" s="1">
        <v>2.0670000000000002</v>
      </c>
      <c r="N6" s="1">
        <v>2.0606586161212572</v>
      </c>
      <c r="P6">
        <v>0.1</v>
      </c>
      <c r="Q6">
        <v>2.0059999999999998</v>
      </c>
      <c r="R6" s="1">
        <v>1.9790695424253273</v>
      </c>
    </row>
    <row r="7" spans="1:18" x14ac:dyDescent="0.25">
      <c r="A7">
        <v>17</v>
      </c>
      <c r="B7">
        <v>1.0620000000000001</v>
      </c>
      <c r="C7" s="1">
        <v>1.0420776327545553</v>
      </c>
      <c r="D7" s="1">
        <v>0</v>
      </c>
      <c r="E7" s="1">
        <v>0</v>
      </c>
      <c r="H7">
        <v>100</v>
      </c>
      <c r="I7">
        <v>2.5510000000000002</v>
      </c>
      <c r="J7" s="1">
        <v>2.5265166179821277</v>
      </c>
      <c r="L7">
        <v>2</v>
      </c>
      <c r="M7" s="1">
        <v>2.1280000000000001</v>
      </c>
      <c r="N7" s="1">
        <v>2.1440841405159268</v>
      </c>
      <c r="O7" s="1"/>
      <c r="P7">
        <v>0.2</v>
      </c>
      <c r="Q7">
        <v>2.0059999999999998</v>
      </c>
      <c r="R7" s="1">
        <v>1.9877316423705387</v>
      </c>
    </row>
    <row r="8" spans="1:18" x14ac:dyDescent="0.25">
      <c r="A8">
        <v>18</v>
      </c>
      <c r="B8">
        <v>1.129</v>
      </c>
      <c r="C8" s="1">
        <v>1.1080542806730915</v>
      </c>
      <c r="D8" s="1">
        <v>0</v>
      </c>
      <c r="E8" s="1">
        <v>0</v>
      </c>
      <c r="H8">
        <v>150</v>
      </c>
      <c r="I8">
        <v>2.823</v>
      </c>
      <c r="J8" s="1">
        <v>2.8025470225659994</v>
      </c>
      <c r="L8">
        <v>3</v>
      </c>
      <c r="M8">
        <v>2.1890000000000001</v>
      </c>
      <c r="N8" s="1">
        <v>2.2294654415407047</v>
      </c>
      <c r="P8">
        <v>0.3</v>
      </c>
      <c r="Q8">
        <v>2.0059999999999998</v>
      </c>
      <c r="R8" s="1">
        <v>1.9914519666625945</v>
      </c>
    </row>
    <row r="9" spans="1:18" x14ac:dyDescent="0.25">
      <c r="A9">
        <v>19</v>
      </c>
      <c r="B9">
        <v>1.1970000000000001</v>
      </c>
      <c r="C9" s="1">
        <v>1.1748216245546743</v>
      </c>
      <c r="D9" s="1">
        <v>0</v>
      </c>
      <c r="E9" s="1">
        <v>0</v>
      </c>
      <c r="H9">
        <v>200</v>
      </c>
      <c r="I9">
        <v>3.0960000000000001</v>
      </c>
      <c r="J9" s="1">
        <v>3.0786746580024138</v>
      </c>
      <c r="L9">
        <v>4</v>
      </c>
      <c r="M9">
        <v>2.2490000000000001</v>
      </c>
      <c r="N9" s="1">
        <v>2.3169305293654565</v>
      </c>
      <c r="P9">
        <v>0.4</v>
      </c>
      <c r="Q9">
        <v>2.0059999999999998</v>
      </c>
      <c r="R9" s="1">
        <v>1.993520891673056</v>
      </c>
    </row>
    <row r="10" spans="1:18" x14ac:dyDescent="0.25">
      <c r="A10">
        <v>20</v>
      </c>
      <c r="B10">
        <v>1.2649999999999999</v>
      </c>
      <c r="C10" s="1">
        <v>1.2424311818215232</v>
      </c>
      <c r="D10" s="1">
        <v>0</v>
      </c>
      <c r="E10" s="1">
        <v>0</v>
      </c>
      <c r="H10">
        <v>250</v>
      </c>
      <c r="I10">
        <v>3.3679999999999999</v>
      </c>
      <c r="J10" s="1">
        <v>3.3628512301395852</v>
      </c>
      <c r="L10">
        <v>5</v>
      </c>
      <c r="M10" s="1">
        <v>2.31</v>
      </c>
      <c r="N10" s="1">
        <v>2.4066170226311407</v>
      </c>
      <c r="P10">
        <v>0.5</v>
      </c>
      <c r="Q10">
        <v>2.0059999999999998</v>
      </c>
      <c r="R10" s="1">
        <v>1.9948382541474616</v>
      </c>
    </row>
    <row r="11" spans="1:18" x14ac:dyDescent="0.25">
      <c r="A11">
        <v>21</v>
      </c>
      <c r="B11">
        <v>1.3340000000000001</v>
      </c>
      <c r="C11" s="1">
        <v>1.3109394365701179</v>
      </c>
      <c r="D11" s="1">
        <v>0</v>
      </c>
      <c r="E11" s="1">
        <v>0</v>
      </c>
      <c r="H11">
        <v>300</v>
      </c>
      <c r="I11" s="1">
        <v>3.6450120377417092</v>
      </c>
      <c r="J11" s="1">
        <v>3.64</v>
      </c>
      <c r="L11">
        <v>6</v>
      </c>
      <c r="M11" s="1">
        <v>2.3719999999999999</v>
      </c>
      <c r="N11" s="1">
        <v>2.4986731954440198</v>
      </c>
      <c r="P11">
        <v>0.6</v>
      </c>
      <c r="Q11">
        <v>2.0059999999999998</v>
      </c>
      <c r="R11" s="1">
        <v>1.9957506271591732</v>
      </c>
    </row>
    <row r="12" spans="1:18" x14ac:dyDescent="0.25">
      <c r="A12">
        <v>22</v>
      </c>
      <c r="B12">
        <v>1.4039999999999999</v>
      </c>
      <c r="C12" s="1">
        <v>1.3804008164143147</v>
      </c>
      <c r="D12" s="1">
        <v>0</v>
      </c>
      <c r="E12" s="1">
        <v>0</v>
      </c>
      <c r="H12">
        <v>350</v>
      </c>
      <c r="I12" s="1">
        <v>3.9581520536028036</v>
      </c>
      <c r="J12" s="1">
        <v>3.9129999999999998</v>
      </c>
      <c r="L12">
        <v>7</v>
      </c>
      <c r="M12" s="1">
        <v>2.4329999999999998</v>
      </c>
      <c r="N12" s="1">
        <v>2.5932591681831503</v>
      </c>
      <c r="P12">
        <v>0.7</v>
      </c>
      <c r="Q12">
        <v>2.0059999999999998</v>
      </c>
      <c r="R12" s="1">
        <v>1.9964198842686867</v>
      </c>
    </row>
    <row r="13" spans="1:18" x14ac:dyDescent="0.25">
      <c r="A13">
        <v>23</v>
      </c>
      <c r="B13">
        <v>1.4750000000000001</v>
      </c>
      <c r="C13" s="1">
        <v>1.4508929707772256</v>
      </c>
      <c r="D13" s="1">
        <v>0</v>
      </c>
      <c r="E13" s="1">
        <v>0.13187461780083171</v>
      </c>
      <c r="H13">
        <v>400</v>
      </c>
      <c r="I13" s="1">
        <v>4.2532677266410577</v>
      </c>
      <c r="J13" s="1">
        <v>4.1849999999999996</v>
      </c>
      <c r="L13">
        <v>8</v>
      </c>
      <c r="M13" s="1">
        <v>2.4950000000000001</v>
      </c>
      <c r="N13" s="1">
        <v>2.6905482676815344</v>
      </c>
      <c r="P13">
        <v>0.8</v>
      </c>
      <c r="Q13">
        <v>2.0059999999999998</v>
      </c>
      <c r="R13" s="1">
        <v>1.9969317739602244</v>
      </c>
    </row>
    <row r="14" spans="1:18" x14ac:dyDescent="0.25">
      <c r="A14">
        <v>24</v>
      </c>
      <c r="B14">
        <v>1.5469999999999999</v>
      </c>
      <c r="C14" s="1">
        <v>1.5224851171412168</v>
      </c>
      <c r="D14" s="1">
        <v>0</v>
      </c>
      <c r="E14" s="1">
        <v>0.68740169355119984</v>
      </c>
      <c r="H14">
        <v>450</v>
      </c>
      <c r="I14" s="1">
        <v>4.5619139987220381</v>
      </c>
      <c r="J14" s="1">
        <v>4.4569999999999999</v>
      </c>
      <c r="L14">
        <v>9</v>
      </c>
      <c r="M14" s="1">
        <v>2.5569999999999999</v>
      </c>
      <c r="N14" s="1">
        <v>2.7907285880409822</v>
      </c>
      <c r="P14">
        <v>0.9</v>
      </c>
      <c r="Q14">
        <v>2.0059999999999998</v>
      </c>
      <c r="R14" s="1">
        <v>1.9973359616022781</v>
      </c>
    </row>
    <row r="15" spans="1:18" x14ac:dyDescent="0.25">
      <c r="A15">
        <v>25</v>
      </c>
      <c r="B15">
        <v>1.621</v>
      </c>
      <c r="C15" s="1">
        <v>1.5952419189459088</v>
      </c>
      <c r="D15" s="1">
        <v>0</v>
      </c>
      <c r="E15" s="1">
        <v>1.2385905826607382</v>
      </c>
      <c r="H15">
        <v>500</v>
      </c>
      <c r="I15" s="1">
        <v>4.8516833380228492</v>
      </c>
      <c r="J15" s="1">
        <v>4.7300000000000004</v>
      </c>
      <c r="L15">
        <v>10</v>
      </c>
      <c r="M15">
        <v>2.6190000000000002</v>
      </c>
      <c r="N15" s="1">
        <v>2.8940047906106443</v>
      </c>
      <c r="P15">
        <v>1</v>
      </c>
      <c r="Q15">
        <v>2.0059999999999998</v>
      </c>
      <c r="R15" s="1">
        <v>1.9976632026216603</v>
      </c>
    </row>
    <row r="16" spans="1:18" x14ac:dyDescent="0.25">
      <c r="A16">
        <v>26</v>
      </c>
      <c r="B16">
        <v>1.6950000000000001</v>
      </c>
      <c r="C16" s="1">
        <v>1.6692157285448024</v>
      </c>
      <c r="D16" s="1">
        <v>0.56607906286599718</v>
      </c>
      <c r="E16" s="1">
        <v>1.7828737592100692</v>
      </c>
      <c r="J16" s="1"/>
      <c r="L16">
        <v>11</v>
      </c>
      <c r="M16">
        <v>2.6819999999999999</v>
      </c>
      <c r="N16" s="1">
        <v>3.0006001910209377</v>
      </c>
    </row>
    <row r="17" spans="1:15" x14ac:dyDescent="0.25">
      <c r="A17">
        <v>27</v>
      </c>
      <c r="B17">
        <v>1.7709999999999999</v>
      </c>
      <c r="C17" s="1">
        <v>1.744492521811831</v>
      </c>
      <c r="D17" s="1">
        <v>1.3426877832416659</v>
      </c>
      <c r="E17" s="1">
        <v>2.3183160643291951</v>
      </c>
      <c r="H17" t="s">
        <v>324</v>
      </c>
      <c r="I17" t="s">
        <v>320</v>
      </c>
      <c r="J17" t="s">
        <v>321</v>
      </c>
      <c r="L17">
        <v>12</v>
      </c>
      <c r="M17">
        <v>2.7450000000000001</v>
      </c>
      <c r="N17" s="1">
        <v>3.110759193344399</v>
      </c>
    </row>
    <row r="18" spans="1:15" x14ac:dyDescent="0.25">
      <c r="A18">
        <v>28</v>
      </c>
      <c r="B18">
        <v>1.8480000000000001</v>
      </c>
      <c r="C18" s="1">
        <v>1.8211747085915746</v>
      </c>
      <c r="D18" s="1">
        <v>2.0948156502485453</v>
      </c>
      <c r="E18" s="1">
        <v>2.8482738127342464</v>
      </c>
      <c r="H18">
        <v>0</v>
      </c>
      <c r="I18">
        <v>2.0059999999999998</v>
      </c>
      <c r="J18" s="1">
        <v>1.9790695424253273</v>
      </c>
      <c r="L18">
        <v>13</v>
      </c>
      <c r="M18" s="1">
        <v>2.8090000000000002</v>
      </c>
      <c r="N18" s="1">
        <v>3.2247501474766382</v>
      </c>
      <c r="O18" s="1"/>
    </row>
    <row r="19" spans="1:15" x14ac:dyDescent="0.25">
      <c r="A19">
        <v>29</v>
      </c>
      <c r="B19">
        <v>1.9259999999999999</v>
      </c>
      <c r="C19" s="1">
        <v>1.8993440089424198</v>
      </c>
      <c r="D19" s="1">
        <v>2.8240395891289625</v>
      </c>
      <c r="E19" s="1">
        <v>3.3747613631114293</v>
      </c>
      <c r="H19">
        <v>20</v>
      </c>
      <c r="I19">
        <v>2.036</v>
      </c>
      <c r="J19" s="1">
        <v>2.0096615603706924</v>
      </c>
      <c r="L19">
        <v>14</v>
      </c>
      <c r="M19">
        <v>2.8730000000000002</v>
      </c>
      <c r="N19" s="1">
        <v>3.3428687271563473</v>
      </c>
    </row>
    <row r="20" spans="1:15" x14ac:dyDescent="0.25">
      <c r="A20">
        <v>30</v>
      </c>
      <c r="B20">
        <v>2.0059999999999998</v>
      </c>
      <c r="C20" s="1">
        <v>1.9790695424253273</v>
      </c>
      <c r="D20" s="1">
        <v>3.531814811823812</v>
      </c>
      <c r="E20" s="1">
        <v>3.9004875817866709</v>
      </c>
      <c r="H20">
        <v>40</v>
      </c>
      <c r="I20">
        <v>2.0649999999999999</v>
      </c>
      <c r="J20" s="1">
        <v>2.0395369913083798</v>
      </c>
      <c r="L20">
        <v>15</v>
      </c>
      <c r="M20">
        <v>2.9380000000000002</v>
      </c>
      <c r="N20" s="1">
        <v>3.4654419547922943</v>
      </c>
    </row>
    <row r="21" spans="1:15" x14ac:dyDescent="0.25">
      <c r="A21">
        <v>31</v>
      </c>
      <c r="B21">
        <v>2.0880000000000001</v>
      </c>
      <c r="C21" s="1">
        <v>2.0604585820996792</v>
      </c>
      <c r="D21" s="1">
        <v>4.2194867517819947</v>
      </c>
      <c r="E21" s="1">
        <v>4.4240350644363238</v>
      </c>
      <c r="H21">
        <v>60</v>
      </c>
      <c r="I21" s="1">
        <v>2.0939999999999999</v>
      </c>
      <c r="J21" s="1">
        <v>2.0687172247534305</v>
      </c>
      <c r="L21">
        <v>16</v>
      </c>
      <c r="M21">
        <v>3.0030000000000001</v>
      </c>
      <c r="N21" s="1">
        <v>3.5928330385542875</v>
      </c>
    </row>
    <row r="22" spans="1:15" x14ac:dyDescent="0.25">
      <c r="A22">
        <v>32</v>
      </c>
      <c r="B22">
        <v>2.1720000000000002</v>
      </c>
      <c r="C22" s="1">
        <v>2.1435785089371535</v>
      </c>
      <c r="D22" s="1">
        <v>4.8883016392479419</v>
      </c>
      <c r="E22" s="1">
        <v>4.9533277184157276</v>
      </c>
      <c r="H22">
        <v>80</v>
      </c>
      <c r="I22">
        <v>2.1230000000000002</v>
      </c>
      <c r="J22" s="1">
        <v>2.0972262473590102</v>
      </c>
      <c r="L22">
        <v>17</v>
      </c>
      <c r="M22">
        <v>3.069</v>
      </c>
      <c r="N22" s="1">
        <v>3.7254472416745923</v>
      </c>
    </row>
    <row r="23" spans="1:15" x14ac:dyDescent="0.25">
      <c r="A23">
        <v>33</v>
      </c>
      <c r="B23">
        <v>2.2570000000000001</v>
      </c>
      <c r="C23" s="1">
        <v>2.2285750459480509</v>
      </c>
      <c r="D23" s="1">
        <v>5.5394158953030255</v>
      </c>
      <c r="E23" s="1">
        <v>5.4734739491456654</v>
      </c>
      <c r="H23">
        <v>100</v>
      </c>
      <c r="I23">
        <v>2.1520000000000001</v>
      </c>
      <c r="J23" s="1">
        <v>2.1250869548317133</v>
      </c>
      <c r="L23">
        <v>18</v>
      </c>
      <c r="M23">
        <v>3.1360000000000001</v>
      </c>
      <c r="N23" s="1">
        <v>3.8637390806851934</v>
      </c>
    </row>
    <row r="24" spans="1:15" x14ac:dyDescent="0.25">
      <c r="A24">
        <v>34</v>
      </c>
      <c r="B24">
        <v>2.3439999999999999</v>
      </c>
      <c r="C24" s="1">
        <v>2.3155448252920907</v>
      </c>
      <c r="D24" s="1">
        <v>6.1739044967689027</v>
      </c>
      <c r="E24" s="1">
        <v>5.9888482264849667</v>
      </c>
      <c r="H24">
        <v>120</v>
      </c>
      <c r="I24" s="1">
        <v>2.5499999999999998</v>
      </c>
      <c r="J24" s="1">
        <v>2.1523212132564984</v>
      </c>
      <c r="L24">
        <v>19</v>
      </c>
      <c r="M24">
        <v>3.2029999999999998</v>
      </c>
      <c r="N24" s="1">
        <v>4.0082212593724158</v>
      </c>
    </row>
    <row r="25" spans="1:15" x14ac:dyDescent="0.25">
      <c r="A25">
        <v>35</v>
      </c>
      <c r="B25">
        <v>2.4329999999999998</v>
      </c>
      <c r="C25" s="1">
        <v>2.4046383972552969</v>
      </c>
      <c r="D25" s="1">
        <v>6.7927684421607655</v>
      </c>
      <c r="E25" s="1">
        <v>6.4991269923181534</v>
      </c>
      <c r="H25">
        <v>140</v>
      </c>
      <c r="I25" s="1">
        <v>2.9750000000000001</v>
      </c>
      <c r="J25" s="1">
        <v>2.178949916330934</v>
      </c>
      <c r="L25">
        <v>20</v>
      </c>
      <c r="M25" s="1">
        <v>3.2709999999999999</v>
      </c>
      <c r="N25" s="1">
        <v>4.1594759059410675</v>
      </c>
    </row>
    <row r="26" spans="1:15" x14ac:dyDescent="0.25">
      <c r="H26">
        <v>160</v>
      </c>
      <c r="I26" s="1">
        <v>3.4</v>
      </c>
      <c r="J26" s="1">
        <v>2.2049930388236021</v>
      </c>
      <c r="L26">
        <v>21</v>
      </c>
      <c r="M26" s="1">
        <v>3.34</v>
      </c>
      <c r="N26" s="1">
        <v>4.3181689203353963</v>
      </c>
    </row>
    <row r="27" spans="1:15" x14ac:dyDescent="0.25">
      <c r="H27">
        <v>180</v>
      </c>
      <c r="I27" s="1">
        <v>3.8250000000000002</v>
      </c>
      <c r="J27" s="1">
        <v>2.2304696865441103</v>
      </c>
      <c r="L27">
        <v>22</v>
      </c>
      <c r="M27" s="1">
        <v>3.41</v>
      </c>
      <c r="N27" s="1">
        <v>4.4850686033651783</v>
      </c>
    </row>
    <row r="28" spans="1:15" x14ac:dyDescent="0.25">
      <c r="H28">
        <v>200</v>
      </c>
      <c r="I28" s="1">
        <v>4.25</v>
      </c>
      <c r="J28" s="1">
        <v>2.2553981430874352</v>
      </c>
      <c r="L28">
        <v>23</v>
      </c>
      <c r="M28" s="1">
        <v>3.4820000000000002</v>
      </c>
      <c r="N28" s="1">
        <v>4.6610703082461855</v>
      </c>
    </row>
    <row r="29" spans="1:15" x14ac:dyDescent="0.25">
      <c r="L29">
        <v>24</v>
      </c>
      <c r="M29" s="1">
        <v>3.5539999999999998</v>
      </c>
      <c r="N29" s="1">
        <v>4.8472297665515223</v>
      </c>
    </row>
    <row r="30" spans="1:15" x14ac:dyDescent="0.25">
      <c r="L30">
        <v>25</v>
      </c>
      <c r="M30">
        <v>3.6269999999999998</v>
      </c>
      <c r="N30" s="1">
        <v>5.0448092437944494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179</vt:i4>
      </vt:variant>
    </vt:vector>
  </HeadingPairs>
  <TitlesOfParts>
    <vt:vector size="185" baseType="lpstr">
      <vt:lpstr>Nomeclature</vt:lpstr>
      <vt:lpstr>Prismatic wedge</vt:lpstr>
      <vt:lpstr>results_Symmetric wedge</vt:lpstr>
      <vt:lpstr>results_Asymmetric wedge</vt:lpstr>
      <vt:lpstr>Tetrahedral wedge</vt:lpstr>
      <vt:lpstr>results_tetrahedral</vt:lpstr>
      <vt:lpstr>Nomeclature!c_</vt:lpstr>
      <vt:lpstr>'Prismatic wedge'!c_</vt:lpstr>
      <vt:lpstr>'Tetrahedral wedge'!c_1</vt:lpstr>
      <vt:lpstr>'Prismatic wedge'!Ca</vt:lpstr>
      <vt:lpstr>results_tetrahedral!Ca</vt:lpstr>
      <vt:lpstr>'Tetrahedral wedge'!Ca</vt:lpstr>
      <vt:lpstr>'Prismatic wedge'!Cb</vt:lpstr>
      <vt:lpstr>results_tetrahedral!Cb</vt:lpstr>
      <vt:lpstr>'Tetrahedral wedge'!Cb</vt:lpstr>
      <vt:lpstr>results_tetrahedral!Cc</vt:lpstr>
      <vt:lpstr>'Tetrahedral wedge'!Cc</vt:lpstr>
      <vt:lpstr>'Tetrahedral wedge'!dipa</vt:lpstr>
      <vt:lpstr>'Tetrahedral wedge'!dipb</vt:lpstr>
      <vt:lpstr>'Tetrahedral wedge'!dipc</vt:lpstr>
      <vt:lpstr>'Tetrahedral wedge'!dira</vt:lpstr>
      <vt:lpstr>'Tetrahedral wedge'!dirb</vt:lpstr>
      <vt:lpstr>'Tetrahedral wedge'!dirc</vt:lpstr>
      <vt:lpstr>'Prismatic wedge'!Fa</vt:lpstr>
      <vt:lpstr>'Prismatic wedge'!Fb</vt:lpstr>
      <vt:lpstr>'Tetrahedral wedge'!Fta</vt:lpstr>
      <vt:lpstr>'Tetrahedral wedge'!Ftb</vt:lpstr>
      <vt:lpstr>'Tetrahedral wedge'!Ftc</vt:lpstr>
      <vt:lpstr>Nomeclature!h</vt:lpstr>
      <vt:lpstr>'Prismatic wedge'!h</vt:lpstr>
      <vt:lpstr>Nomeclature!H0</vt:lpstr>
      <vt:lpstr>'Prismatic wedge'!H0</vt:lpstr>
      <vt:lpstr>'Prismatic wedge'!i</vt:lpstr>
      <vt:lpstr>i</vt:lpstr>
      <vt:lpstr>results_tetrahedral!i_1</vt:lpstr>
      <vt:lpstr>'Tetrahedral wedge'!i_1</vt:lpstr>
      <vt:lpstr>Nomeclature!k</vt:lpstr>
      <vt:lpstr>'Prismatic wedge'!k</vt:lpstr>
      <vt:lpstr>'Tetrahedral wedge'!kh</vt:lpstr>
      <vt:lpstr>Nomeclature!Ks</vt:lpstr>
      <vt:lpstr>'Prismatic wedge'!Ks</vt:lpstr>
      <vt:lpstr>'Tetrahedral wedge'!Ks_1</vt:lpstr>
      <vt:lpstr>'Tetrahedral wedge'!kxa</vt:lpstr>
      <vt:lpstr>'Tetrahedral wedge'!kxb</vt:lpstr>
      <vt:lpstr>'Tetrahedral wedge'!kxc</vt:lpstr>
      <vt:lpstr>'Tetrahedral wedge'!kya</vt:lpstr>
      <vt:lpstr>'Tetrahedral wedge'!kyb</vt:lpstr>
      <vt:lpstr>'Tetrahedral wedge'!kyc</vt:lpstr>
      <vt:lpstr>'Tetrahedral wedge'!kza</vt:lpstr>
      <vt:lpstr>'Tetrahedral wedge'!kzb</vt:lpstr>
      <vt:lpstr>'Tetrahedral wedge'!kzc</vt:lpstr>
      <vt:lpstr>Nomeclature!mx1_</vt:lpstr>
      <vt:lpstr>'Prismatic wedge'!mx1_</vt:lpstr>
      <vt:lpstr>Nomeclature!mx2_</vt:lpstr>
      <vt:lpstr>'Prismatic wedge'!mx2_</vt:lpstr>
      <vt:lpstr>'Tetrahedral wedge'!mxa</vt:lpstr>
      <vt:lpstr>'Tetrahedral wedge'!mxb</vt:lpstr>
      <vt:lpstr>'Tetrahedral wedge'!mxc</vt:lpstr>
      <vt:lpstr>Nomeclature!my1_</vt:lpstr>
      <vt:lpstr>'Prismatic wedge'!my1_</vt:lpstr>
      <vt:lpstr>'results_Asymmetric wedge'!my1_</vt:lpstr>
      <vt:lpstr>'results_Symmetric wedge'!my1_</vt:lpstr>
      <vt:lpstr>Nomeclature!my2_</vt:lpstr>
      <vt:lpstr>'Prismatic wedge'!my2_</vt:lpstr>
      <vt:lpstr>'results_Asymmetric wedge'!my2_</vt:lpstr>
      <vt:lpstr>'results_Symmetric wedge'!my2_</vt:lpstr>
      <vt:lpstr>'Tetrahedral wedge'!mya</vt:lpstr>
      <vt:lpstr>'Tetrahedral wedge'!myb</vt:lpstr>
      <vt:lpstr>'Tetrahedral wedge'!myc</vt:lpstr>
      <vt:lpstr>results_tetrahedral!mza</vt:lpstr>
      <vt:lpstr>'Tetrahedral wedge'!mza</vt:lpstr>
      <vt:lpstr>results_tetrahedral!mzb</vt:lpstr>
      <vt:lpstr>'Tetrahedral wedge'!mzb</vt:lpstr>
      <vt:lpstr>results_tetrahedral!mzc</vt:lpstr>
      <vt:lpstr>'Tetrahedral wedge'!mzc</vt:lpstr>
      <vt:lpstr>Nomeclature!N01_</vt:lpstr>
      <vt:lpstr>'Prismatic wedge'!N01_</vt:lpstr>
      <vt:lpstr>Nomeclature!N02_</vt:lpstr>
      <vt:lpstr>'Prismatic wedge'!N02_</vt:lpstr>
      <vt:lpstr>'Tetrahedral wedge'!N0a</vt:lpstr>
      <vt:lpstr>'Tetrahedral wedge'!N0b</vt:lpstr>
      <vt:lpstr>'Tetrahedral wedge'!N0c</vt:lpstr>
      <vt:lpstr>Nomeclature!nx1_</vt:lpstr>
      <vt:lpstr>'Prismatic wedge'!nx1_</vt:lpstr>
      <vt:lpstr>Nomeclature!nx2_</vt:lpstr>
      <vt:lpstr>'Prismatic wedge'!nx2_</vt:lpstr>
      <vt:lpstr>'Tetrahedral wedge'!nxa</vt:lpstr>
      <vt:lpstr>'Tetrahedral wedge'!nxb</vt:lpstr>
      <vt:lpstr>'Tetrahedral wedge'!nxc</vt:lpstr>
      <vt:lpstr>Nomeclature!ny1_</vt:lpstr>
      <vt:lpstr>'Prismatic wedge'!ny1_</vt:lpstr>
      <vt:lpstr>'results_Asymmetric wedge'!ny1_</vt:lpstr>
      <vt:lpstr>'results_Symmetric wedge'!ny1_</vt:lpstr>
      <vt:lpstr>Nomeclature!ny2_</vt:lpstr>
      <vt:lpstr>'Prismatic wedge'!ny2_</vt:lpstr>
      <vt:lpstr>'results_Asymmetric wedge'!ny2_</vt:lpstr>
      <vt:lpstr>'results_Symmetric wedge'!ny2_</vt:lpstr>
      <vt:lpstr>'Tetrahedral wedge'!nya</vt:lpstr>
      <vt:lpstr>'Tetrahedral wedge'!nyb</vt:lpstr>
      <vt:lpstr>'Tetrahedral wedge'!nyc</vt:lpstr>
      <vt:lpstr>results_tetrahedral!nza</vt:lpstr>
      <vt:lpstr>'Tetrahedral wedge'!nza</vt:lpstr>
      <vt:lpstr>results_tetrahedral!nzb</vt:lpstr>
      <vt:lpstr>'Tetrahedral wedge'!nzb</vt:lpstr>
      <vt:lpstr>results_tetrahedral!nzc</vt:lpstr>
      <vt:lpstr>'Tetrahedral wedge'!nzc</vt:lpstr>
      <vt:lpstr>Nomeclature!p</vt:lpstr>
      <vt:lpstr>'Prismatic wedge'!p</vt:lpstr>
      <vt:lpstr>Nomeclature!Pl1_</vt:lpstr>
      <vt:lpstr>'Prismatic wedge'!Pl1_</vt:lpstr>
      <vt:lpstr>'results_Asymmetric wedge'!Pl1_</vt:lpstr>
      <vt:lpstr>'results_Symmetric wedge'!Pl1_</vt:lpstr>
      <vt:lpstr>Nomeclature!Pl2_</vt:lpstr>
      <vt:lpstr>'Prismatic wedge'!Pl2_</vt:lpstr>
      <vt:lpstr>'results_Asymmetric wedge'!Pl2_</vt:lpstr>
      <vt:lpstr>'results_Symmetric wedge'!Pl2_</vt:lpstr>
      <vt:lpstr>'Tetrahedral wedge'!pv</vt:lpstr>
      <vt:lpstr>Nomeclature!R_</vt:lpstr>
      <vt:lpstr>'Prismatic wedge'!R_</vt:lpstr>
      <vt:lpstr>'Tetrahedral wedge'!R0</vt:lpstr>
      <vt:lpstr>Nomeclature!S01_</vt:lpstr>
      <vt:lpstr>'Prismatic wedge'!S01_</vt:lpstr>
      <vt:lpstr>Nomeclature!S02_</vt:lpstr>
      <vt:lpstr>'Prismatic wedge'!S02_</vt:lpstr>
      <vt:lpstr>'Tetrahedral wedge'!S0a</vt:lpstr>
      <vt:lpstr>'Tetrahedral wedge'!S0b</vt:lpstr>
      <vt:lpstr>'Tetrahedral wedge'!S0c</vt:lpstr>
      <vt:lpstr>'Tetrahedral wedge'!T0a</vt:lpstr>
      <vt:lpstr>'Tetrahedral wedge'!T0b</vt:lpstr>
      <vt:lpstr>'Tetrahedral wedge'!T0c</vt:lpstr>
      <vt:lpstr>Nomeclature!un1a</vt:lpstr>
      <vt:lpstr>'Prismatic wedge'!un1a</vt:lpstr>
      <vt:lpstr>un1b</vt:lpstr>
      <vt:lpstr>Nomeclature!un1c</vt:lpstr>
      <vt:lpstr>'Prismatic wedge'!un1c</vt:lpstr>
      <vt:lpstr>Nomeclature!un2a</vt:lpstr>
      <vt:lpstr>'Prismatic wedge'!un2a</vt:lpstr>
      <vt:lpstr>'Prismatic wedge'!un2b</vt:lpstr>
      <vt:lpstr>Nomeclature!un2c</vt:lpstr>
      <vt:lpstr>'Prismatic wedge'!un2c</vt:lpstr>
      <vt:lpstr>Nomeclature!us1a</vt:lpstr>
      <vt:lpstr>'Prismatic wedge'!us1a</vt:lpstr>
      <vt:lpstr>Nomeclature!us1b</vt:lpstr>
      <vt:lpstr>'Prismatic wedge'!us1b</vt:lpstr>
      <vt:lpstr>Nomeclature!us1c</vt:lpstr>
      <vt:lpstr>'Prismatic wedge'!us1c</vt:lpstr>
      <vt:lpstr>Nomeclature!us2a</vt:lpstr>
      <vt:lpstr>'Prismatic wedge'!us2a</vt:lpstr>
      <vt:lpstr>Nomeclature!us2b</vt:lpstr>
      <vt:lpstr>'Prismatic wedge'!us2b</vt:lpstr>
      <vt:lpstr>Nomeclature!us2c</vt:lpstr>
      <vt:lpstr>'Prismatic wedge'!us2c</vt:lpstr>
      <vt:lpstr>'Tetrahedral wedge'!v</vt:lpstr>
      <vt:lpstr>Nomeclature!W</vt:lpstr>
      <vt:lpstr>'Prismatic wedge'!W</vt:lpstr>
      <vt:lpstr>'results_Asymmetric wedge'!W</vt:lpstr>
      <vt:lpstr>'results_Symmetric wedge'!W</vt:lpstr>
      <vt:lpstr>'Tetrahedral wedge'!W</vt:lpstr>
      <vt:lpstr>W</vt:lpstr>
      <vt:lpstr>'Prismatic wedge'!z</vt:lpstr>
      <vt:lpstr>'Tetrahedral wedge'!z</vt:lpstr>
      <vt:lpstr>Nomeclature!α1</vt:lpstr>
      <vt:lpstr>'Prismatic wedge'!α1</vt:lpstr>
      <vt:lpstr>Nomeclature!α2</vt:lpstr>
      <vt:lpstr>'Prismatic wedge'!α2</vt:lpstr>
      <vt:lpstr>Nomeclature!γ</vt:lpstr>
      <vt:lpstr>'Prismatic wedge'!γ</vt:lpstr>
      <vt:lpstr>'Tetrahedral wedge'!γ</vt:lpstr>
      <vt:lpstr>'Prismatic wedge'!Ε1</vt:lpstr>
      <vt:lpstr>'Prismatic wedge'!Ε2</vt:lpstr>
      <vt:lpstr>'Prismatic wedge'!θ0</vt:lpstr>
      <vt:lpstr>'Tetrahedral wedge'!θ0</vt:lpstr>
      <vt:lpstr>Nomeclature!θ1</vt:lpstr>
      <vt:lpstr>'Prismatic wedge'!θ1</vt:lpstr>
      <vt:lpstr>Nomeclature!θ2</vt:lpstr>
      <vt:lpstr>'Prismatic wedge'!θ2</vt:lpstr>
      <vt:lpstr>Nomeclature!σt</vt:lpstr>
      <vt:lpstr>'Prismatic wedge'!σt</vt:lpstr>
      <vt:lpstr>'Tetrahedral wedge'!σt1</vt:lpstr>
      <vt:lpstr>Nomeclature!φ</vt:lpstr>
      <vt:lpstr>'Prismatic wedge'!φ</vt:lpstr>
      <vt:lpstr>'results_Asymmetric wedge'!φ</vt:lpstr>
      <vt:lpstr>'results_Symmetric wedge'!φ</vt:lpstr>
      <vt:lpstr>results_tetrahedral!φ1</vt:lpstr>
      <vt:lpstr>'Tetrahedral wedge'!φ1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XIROUDAKIS GEORGE</dc:creator>
  <cp:lastModifiedBy>XIROUDAKIS GEORGE</cp:lastModifiedBy>
  <dcterms:created xsi:type="dcterms:W3CDTF">2023-04-04T11:19:44Z</dcterms:created>
  <dcterms:modified xsi:type="dcterms:W3CDTF">2023-07-10T10:41:28Z</dcterms:modified>
</cp:coreProperties>
</file>